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9720" windowHeight="7320" activeTab="23"/>
  </bookViews>
  <sheets>
    <sheet name="Авсюнин средн" sheetId="14" r:id="rId1"/>
    <sheet name="Верейская" sheetId="17" r:id="rId2"/>
    <sheet name="Давыд. гимн" sheetId="26" r:id="rId3"/>
    <sheet name="Давыд. лицей" sheetId="25" r:id="rId4"/>
    <sheet name="Демиховская" sheetId="24" r:id="rId5"/>
    <sheet name="Запутновская" sheetId="16" r:id="rId6"/>
    <sheet name="Ильинская" sheetId="15" r:id="rId7"/>
    <sheet name="Кабановская" sheetId="13" r:id="rId8"/>
    <sheet name="Малодубенская" sheetId="29" r:id="rId9"/>
    <sheet name="Новинская" sheetId="28" r:id="rId10"/>
    <sheet name="Соболевская" sheetId="27" r:id="rId11"/>
    <sheet name="Щетиновская" sheetId="30" r:id="rId12"/>
    <sheet name="л-д №2" sheetId="12" r:id="rId13"/>
    <sheet name="л-д №3" sheetId="11" r:id="rId14"/>
    <sheet name="л-д №4" sheetId="6" r:id="rId15"/>
    <sheet name="ППРиК" sheetId="5" r:id="rId16"/>
    <sheet name="Дрезн №1" sheetId="4" r:id="rId17"/>
    <sheet name="Дрезн гимназ" sheetId="23" r:id="rId18"/>
    <sheet name="Куровская №2" sheetId="22" r:id="rId19"/>
    <sheet name="Куровская гимназ" sheetId="21" r:id="rId20"/>
    <sheet name="Л-Д  гимназ" sheetId="20" r:id="rId21"/>
    <sheet name="Л-Д лицей" sheetId="19" r:id="rId22"/>
    <sheet name="Л-Д №5" sheetId="18" r:id="rId23"/>
    <sheet name="таблица" sheetId="3" r:id="rId24"/>
  </sheets>
  <definedNames>
    <definedName name="_xlnm.Print_Area" localSheetId="16">'Дрезн №1'!$A$1:$L$45</definedName>
  </definedNames>
  <calcPr calcId="145621"/>
  <fileRecoveryPr autoRecover="0"/>
</workbook>
</file>

<file path=xl/calcChain.xml><?xml version="1.0" encoding="utf-8"?>
<calcChain xmlns="http://schemas.openxmlformats.org/spreadsheetml/2006/main">
  <c r="J44" i="18" l="1"/>
  <c r="J19" i="18"/>
  <c r="G10" i="18"/>
  <c r="H16" i="18"/>
  <c r="G31" i="18"/>
  <c r="H31" i="18"/>
  <c r="F31" i="18"/>
  <c r="H33" i="18"/>
  <c r="G33" i="18"/>
  <c r="F33" i="18"/>
  <c r="G13" i="18"/>
  <c r="G25" i="18"/>
  <c r="H25" i="18"/>
  <c r="H29" i="18"/>
  <c r="H22" i="18"/>
  <c r="H19" i="18"/>
  <c r="H13" i="18"/>
  <c r="H10" i="18"/>
  <c r="G25" i="20"/>
  <c r="G13" i="20"/>
  <c r="G10" i="20"/>
  <c r="G28" i="20"/>
  <c r="F13" i="20"/>
  <c r="H25" i="20"/>
  <c r="H16" i="20"/>
  <c r="H23" i="20"/>
  <c r="H29" i="20"/>
  <c r="H22" i="20"/>
  <c r="H19" i="20"/>
  <c r="H18" i="20"/>
  <c r="G10" i="23" l="1"/>
  <c r="H40" i="23"/>
  <c r="G33" i="23"/>
  <c r="H33" i="23"/>
  <c r="F33" i="23"/>
  <c r="H21" i="23"/>
  <c r="G8" i="23"/>
  <c r="H8" i="23"/>
  <c r="G14" i="23"/>
  <c r="H14" i="23"/>
  <c r="G25" i="23"/>
  <c r="G13" i="23"/>
  <c r="H25" i="23"/>
  <c r="H16" i="23"/>
  <c r="H29" i="23"/>
  <c r="H19" i="23"/>
  <c r="H18" i="23"/>
  <c r="G10" i="4"/>
  <c r="H10" i="4" l="1"/>
  <c r="G13" i="4"/>
  <c r="G25" i="4"/>
  <c r="H35" i="4"/>
  <c r="H16" i="4"/>
  <c r="H25" i="4"/>
  <c r="H29" i="4"/>
  <c r="H22" i="4"/>
  <c r="H19" i="4"/>
  <c r="H13" i="4"/>
  <c r="H16" i="5"/>
  <c r="H25" i="5"/>
  <c r="H19" i="5"/>
  <c r="H13" i="5"/>
  <c r="H10" i="5"/>
  <c r="H19" i="6" l="1"/>
  <c r="G33" i="6"/>
  <c r="G35" i="6"/>
  <c r="G13" i="6"/>
  <c r="G10" i="6"/>
  <c r="G25" i="6"/>
  <c r="H25" i="6"/>
  <c r="H22" i="6"/>
  <c r="H18" i="6"/>
  <c r="H16" i="6"/>
  <c r="H29" i="6"/>
  <c r="J19" i="11"/>
  <c r="H23" i="11"/>
  <c r="H19" i="11"/>
  <c r="G13" i="11"/>
  <c r="G10" i="11"/>
  <c r="G28" i="11"/>
  <c r="G25" i="11"/>
  <c r="H25" i="11"/>
  <c r="H18" i="11"/>
  <c r="H16" i="11"/>
  <c r="J19" i="12"/>
  <c r="J8" i="12"/>
  <c r="H19" i="12"/>
  <c r="H25" i="12"/>
  <c r="F33" i="12"/>
  <c r="F31" i="12" s="1"/>
  <c r="H31" i="12"/>
  <c r="G31" i="12"/>
  <c r="G33" i="12"/>
  <c r="G13" i="12"/>
  <c r="G10" i="12"/>
  <c r="H35" i="12"/>
  <c r="H16" i="12"/>
  <c r="H23" i="12"/>
  <c r="G25" i="30" l="1"/>
  <c r="H25" i="30"/>
  <c r="G13" i="30"/>
  <c r="G10" i="30"/>
  <c r="H16" i="30"/>
  <c r="H19" i="30"/>
  <c r="H25" i="27"/>
  <c r="G14" i="27"/>
  <c r="G13" i="27"/>
  <c r="G10" i="27"/>
  <c r="H16" i="27"/>
  <c r="H29" i="27"/>
  <c r="H19" i="27"/>
  <c r="J25" i="28"/>
  <c r="J19" i="28"/>
  <c r="G13" i="28"/>
  <c r="G10" i="28"/>
  <c r="H25" i="28"/>
  <c r="H23" i="28"/>
  <c r="H35" i="28"/>
  <c r="H16" i="28"/>
  <c r="G13" i="29"/>
  <c r="G10" i="29"/>
  <c r="H25" i="29"/>
  <c r="H16" i="29"/>
  <c r="H19" i="29"/>
  <c r="G25" i="13"/>
  <c r="H25" i="13"/>
  <c r="G16" i="13"/>
  <c r="G13" i="13"/>
  <c r="G10" i="13"/>
  <c r="G28" i="13"/>
  <c r="H16" i="13"/>
  <c r="H23" i="13"/>
  <c r="H44" i="13"/>
  <c r="H19" i="13"/>
  <c r="H18" i="13"/>
  <c r="G13" i="15" l="1"/>
  <c r="G10" i="15"/>
  <c r="G23" i="15"/>
  <c r="H16" i="15"/>
  <c r="H18" i="15"/>
  <c r="H44" i="15"/>
  <c r="H41" i="15"/>
  <c r="H29" i="15"/>
  <c r="H25" i="15"/>
  <c r="H22" i="15"/>
  <c r="H19" i="15"/>
  <c r="H13" i="15"/>
  <c r="H10" i="15"/>
  <c r="J14" i="16"/>
  <c r="G13" i="16"/>
  <c r="G10" i="16"/>
  <c r="G25" i="16"/>
  <c r="H16" i="16"/>
  <c r="H29" i="16"/>
  <c r="H25" i="16"/>
  <c r="H19" i="16"/>
  <c r="H18" i="16"/>
  <c r="J19" i="24"/>
  <c r="H13" i="24"/>
  <c r="G25" i="24"/>
  <c r="G13" i="24"/>
  <c r="G10" i="24"/>
  <c r="G28" i="24"/>
  <c r="H35" i="24"/>
  <c r="H23" i="24"/>
  <c r="H16" i="24"/>
  <c r="H25" i="24"/>
  <c r="H22" i="24"/>
  <c r="H19" i="24"/>
  <c r="H10" i="24"/>
  <c r="G10" i="25"/>
  <c r="H25" i="25"/>
  <c r="G25" i="25"/>
  <c r="G13" i="25"/>
  <c r="H29" i="25"/>
  <c r="H18" i="25"/>
  <c r="H16" i="25"/>
  <c r="H10" i="25"/>
  <c r="H19" i="25"/>
  <c r="J19" i="26"/>
  <c r="G28" i="26"/>
  <c r="G25" i="26"/>
  <c r="G13" i="26"/>
  <c r="G10" i="26"/>
  <c r="F11" i="26"/>
  <c r="F10" i="26"/>
  <c r="H35" i="26"/>
  <c r="H23" i="26"/>
  <c r="H25" i="26"/>
  <c r="H16" i="26"/>
  <c r="H10" i="26"/>
  <c r="H19" i="26"/>
  <c r="G10" i="17"/>
  <c r="H25" i="17"/>
  <c r="G13" i="17"/>
  <c r="G25" i="17"/>
  <c r="G16" i="17"/>
  <c r="H16" i="17"/>
  <c r="H19" i="17"/>
  <c r="J44" i="14" l="1"/>
  <c r="J19" i="14"/>
  <c r="G10" i="14"/>
  <c r="G25" i="14"/>
  <c r="H25" i="14"/>
  <c r="H19" i="14"/>
  <c r="H18" i="14"/>
  <c r="H16" i="14"/>
  <c r="G13" i="14"/>
  <c r="F40" i="14" l="1"/>
  <c r="H40" i="14"/>
  <c r="K21" i="18" l="1"/>
  <c r="L21" i="18"/>
  <c r="J21" i="18"/>
  <c r="G33" i="16"/>
  <c r="J21" i="26"/>
  <c r="K21" i="26"/>
  <c r="L21" i="26"/>
  <c r="L40" i="15" l="1"/>
  <c r="J14" i="11"/>
  <c r="J21" i="12"/>
  <c r="J14" i="12" s="1"/>
  <c r="J21" i="28"/>
  <c r="J14" i="28" s="1"/>
  <c r="J21" i="24"/>
  <c r="J14" i="24" s="1"/>
  <c r="J21" i="14"/>
  <c r="J14" i="14" s="1"/>
  <c r="H33" i="26" l="1"/>
  <c r="G21" i="6"/>
  <c r="H21" i="6"/>
  <c r="H40" i="29"/>
  <c r="E36" i="20" l="1"/>
  <c r="E34" i="20"/>
  <c r="G33" i="20"/>
  <c r="E25" i="20"/>
  <c r="E16" i="20"/>
  <c r="E12" i="20"/>
  <c r="E11" i="20"/>
  <c r="E10" i="20"/>
  <c r="F33" i="21"/>
  <c r="E46" i="22"/>
  <c r="D46" i="22" s="1"/>
  <c r="H21" i="28"/>
  <c r="G21" i="14"/>
  <c r="K6" i="17" l="1"/>
  <c r="J33" i="11"/>
  <c r="K33" i="11"/>
  <c r="L33" i="12"/>
  <c r="K33" i="12"/>
  <c r="J33" i="12"/>
  <c r="K31" i="12"/>
  <c r="L14" i="12"/>
  <c r="K14" i="12"/>
  <c r="L14" i="24"/>
  <c r="K14" i="24"/>
  <c r="K14" i="26"/>
  <c r="L14" i="26"/>
  <c r="J14" i="26"/>
  <c r="L14" i="13"/>
  <c r="K14" i="13"/>
  <c r="J14" i="13"/>
  <c r="K6" i="15"/>
  <c r="L21" i="15"/>
  <c r="K21" i="15"/>
  <c r="J21" i="15"/>
  <c r="L14" i="14"/>
  <c r="K14" i="14"/>
  <c r="L8" i="18" l="1"/>
  <c r="K8" i="18"/>
  <c r="J8" i="18"/>
  <c r="F8" i="18"/>
  <c r="H8" i="18"/>
  <c r="G8" i="18"/>
  <c r="L8" i="19"/>
  <c r="K8" i="19"/>
  <c r="J8" i="19"/>
  <c r="F8" i="19"/>
  <c r="H8" i="19"/>
  <c r="G8" i="19"/>
  <c r="L8" i="20"/>
  <c r="K8" i="20"/>
  <c r="J8" i="20"/>
  <c r="F8" i="20"/>
  <c r="H8" i="20"/>
  <c r="G8" i="20"/>
  <c r="G8" i="22"/>
  <c r="G8" i="4"/>
  <c r="L8" i="5" l="1"/>
  <c r="K8" i="5"/>
  <c r="J8" i="5"/>
  <c r="F8" i="5"/>
  <c r="H8" i="5"/>
  <c r="G8" i="5"/>
  <c r="G8" i="6"/>
  <c r="L8" i="11"/>
  <c r="K8" i="11"/>
  <c r="J8" i="11"/>
  <c r="H8" i="11"/>
  <c r="F8" i="11"/>
  <c r="G8" i="11"/>
  <c r="L8" i="12"/>
  <c r="K8" i="12"/>
  <c r="F8" i="12"/>
  <c r="H8" i="12"/>
  <c r="G8" i="12"/>
  <c r="L8" i="30"/>
  <c r="K8" i="30"/>
  <c r="J8" i="30"/>
  <c r="H8" i="30"/>
  <c r="F8" i="30"/>
  <c r="G8" i="30"/>
  <c r="L8" i="24"/>
  <c r="K8" i="24"/>
  <c r="J8" i="24"/>
  <c r="H8" i="24"/>
  <c r="F8" i="24"/>
  <c r="G8" i="24"/>
  <c r="L8" i="25"/>
  <c r="K8" i="25"/>
  <c r="J8" i="25"/>
  <c r="F8" i="25"/>
  <c r="H8" i="25"/>
  <c r="G8" i="25"/>
  <c r="L8" i="26"/>
  <c r="K8" i="26"/>
  <c r="J8" i="26"/>
  <c r="H8" i="26"/>
  <c r="F8" i="26"/>
  <c r="G8" i="26"/>
  <c r="L8" i="27"/>
  <c r="K8" i="27"/>
  <c r="J8" i="27"/>
  <c r="F8" i="27"/>
  <c r="H8" i="27"/>
  <c r="G8" i="27"/>
  <c r="L8" i="28"/>
  <c r="K8" i="28"/>
  <c r="J8" i="28"/>
  <c r="H8" i="28"/>
  <c r="F8" i="28"/>
  <c r="G8" i="28"/>
  <c r="L8" i="29"/>
  <c r="K8" i="29"/>
  <c r="J8" i="29"/>
  <c r="H8" i="29"/>
  <c r="F8" i="29"/>
  <c r="G8" i="29"/>
  <c r="L8" i="13"/>
  <c r="K8" i="13"/>
  <c r="J8" i="13"/>
  <c r="F8" i="13"/>
  <c r="H8" i="13"/>
  <c r="L8" i="15"/>
  <c r="K8" i="15"/>
  <c r="J8" i="15"/>
  <c r="H8" i="15"/>
  <c r="F8" i="15"/>
  <c r="G8" i="15"/>
  <c r="L8" i="16"/>
  <c r="K8" i="16"/>
  <c r="J8" i="16"/>
  <c r="H8" i="16"/>
  <c r="F8" i="16"/>
  <c r="G8" i="16"/>
  <c r="G28" i="17"/>
  <c r="L8" i="17"/>
  <c r="K8" i="17"/>
  <c r="J8" i="17"/>
  <c r="H8" i="17"/>
  <c r="F8" i="17"/>
  <c r="G8" i="17"/>
  <c r="L8" i="14"/>
  <c r="K8" i="14"/>
  <c r="J8" i="14"/>
  <c r="I8" i="14" s="1"/>
  <c r="H8" i="14"/>
  <c r="F8" i="14"/>
  <c r="G8" i="14"/>
  <c r="G14" i="14"/>
  <c r="L6" i="11" l="1"/>
  <c r="I14" i="4"/>
  <c r="J14" i="4"/>
  <c r="K14" i="4"/>
  <c r="L14" i="4"/>
  <c r="K14" i="22"/>
  <c r="L14" i="22"/>
  <c r="I14" i="22"/>
  <c r="J14" i="22"/>
  <c r="H6" i="21"/>
  <c r="G14" i="21"/>
  <c r="G6" i="21" s="1"/>
  <c r="H14" i="21"/>
  <c r="I14" i="21"/>
  <c r="J14" i="21"/>
  <c r="K14" i="21"/>
  <c r="L14" i="21"/>
  <c r="J6" i="21"/>
  <c r="K6" i="21"/>
  <c r="G14" i="19"/>
  <c r="J14" i="19"/>
  <c r="K14" i="19"/>
  <c r="L14" i="19"/>
  <c r="I14" i="17"/>
  <c r="J14" i="17"/>
  <c r="K14" i="17"/>
  <c r="L14" i="17"/>
  <c r="J14" i="15"/>
  <c r="K14" i="15"/>
  <c r="L14" i="15"/>
  <c r="I21" i="29"/>
  <c r="G21" i="29"/>
  <c r="I14" i="29"/>
  <c r="J14" i="29"/>
  <c r="K14" i="29"/>
  <c r="L14" i="29"/>
  <c r="E29" i="28"/>
  <c r="K14" i="28"/>
  <c r="L14" i="28"/>
  <c r="I14" i="25"/>
  <c r="J14" i="25"/>
  <c r="K14" i="25"/>
  <c r="L14" i="25"/>
  <c r="F14" i="25"/>
  <c r="K31" i="25"/>
  <c r="H40" i="18" l="1"/>
  <c r="G21" i="18"/>
  <c r="G14" i="18" s="1"/>
  <c r="H40" i="19"/>
  <c r="L6" i="21"/>
  <c r="G40" i="21"/>
  <c r="H40" i="30"/>
  <c r="F40" i="30"/>
  <c r="G40" i="30"/>
  <c r="F40" i="27"/>
  <c r="G40" i="27"/>
  <c r="H40" i="27"/>
  <c r="H40" i="12" l="1"/>
  <c r="F14" i="12"/>
  <c r="F40" i="11"/>
  <c r="F40" i="6"/>
  <c r="F40" i="5"/>
  <c r="F40" i="4"/>
  <c r="F40" i="23"/>
  <c r="F40" i="22"/>
  <c r="F40" i="21"/>
  <c r="F40" i="20"/>
  <c r="F40" i="19"/>
  <c r="F40" i="18"/>
  <c r="F40" i="17"/>
  <c r="F40" i="16"/>
  <c r="F40" i="15"/>
  <c r="F40" i="29"/>
  <c r="F40" i="28"/>
  <c r="F40" i="26"/>
  <c r="F40" i="25"/>
  <c r="F40" i="24"/>
  <c r="F40" i="13"/>
  <c r="F40" i="3"/>
  <c r="F40" i="12"/>
  <c r="G31" i="3"/>
  <c r="F21" i="11"/>
  <c r="F21" i="6"/>
  <c r="F21" i="5"/>
  <c r="F21" i="4"/>
  <c r="F21" i="23"/>
  <c r="F21" i="22"/>
  <c r="F21" i="21"/>
  <c r="F21" i="20"/>
  <c r="F21" i="19"/>
  <c r="F21" i="18"/>
  <c r="F21" i="14"/>
  <c r="F14" i="14" s="1"/>
  <c r="F21" i="17"/>
  <c r="F21" i="16"/>
  <c r="F21" i="15"/>
  <c r="F21" i="29"/>
  <c r="F21" i="28"/>
  <c r="F21" i="27"/>
  <c r="F21" i="26"/>
  <c r="F21" i="25"/>
  <c r="F21" i="24"/>
  <c r="F21" i="30"/>
  <c r="F21" i="13"/>
  <c r="F21" i="3"/>
  <c r="F21" i="12"/>
  <c r="G21" i="11"/>
  <c r="H21" i="11"/>
  <c r="H14" i="11" s="1"/>
  <c r="G14" i="6"/>
  <c r="H14" i="6"/>
  <c r="G21" i="5"/>
  <c r="H21" i="5"/>
  <c r="H14" i="5" s="1"/>
  <c r="G21" i="4"/>
  <c r="G14" i="4" s="1"/>
  <c r="H21" i="4"/>
  <c r="G21" i="23"/>
  <c r="G21" i="22"/>
  <c r="H21" i="22"/>
  <c r="H14" i="22" s="1"/>
  <c r="G21" i="21"/>
  <c r="H21" i="21"/>
  <c r="G21" i="20"/>
  <c r="G14" i="20" s="1"/>
  <c r="H21" i="20"/>
  <c r="E21" i="20" s="1"/>
  <c r="G21" i="19"/>
  <c r="H21" i="19"/>
  <c r="H14" i="19" s="1"/>
  <c r="H21" i="18"/>
  <c r="H14" i="18" s="1"/>
  <c r="H6" i="18" s="1"/>
  <c r="H21" i="14"/>
  <c r="G21" i="17"/>
  <c r="G14" i="17" s="1"/>
  <c r="H21" i="17"/>
  <c r="G21" i="16"/>
  <c r="G14" i="16" s="1"/>
  <c r="H21" i="16"/>
  <c r="G21" i="15"/>
  <c r="G14" i="15" s="1"/>
  <c r="H21" i="15"/>
  <c r="H14" i="15" s="1"/>
  <c r="H21" i="29"/>
  <c r="H14" i="29" s="1"/>
  <c r="G21" i="28"/>
  <c r="G14" i="28" s="1"/>
  <c r="H14" i="28"/>
  <c r="G21" i="27"/>
  <c r="H21" i="27"/>
  <c r="H14" i="27" s="1"/>
  <c r="G21" i="26"/>
  <c r="H21" i="26"/>
  <c r="G21" i="25"/>
  <c r="G14" i="25" s="1"/>
  <c r="H21" i="25"/>
  <c r="H14" i="25" s="1"/>
  <c r="G21" i="24"/>
  <c r="G14" i="24" s="1"/>
  <c r="H21" i="24"/>
  <c r="H14" i="24" s="1"/>
  <c r="G21" i="30"/>
  <c r="H21" i="30"/>
  <c r="H14" i="30" s="1"/>
  <c r="G21" i="13"/>
  <c r="G14" i="13" s="1"/>
  <c r="H21" i="13"/>
  <c r="G21" i="3"/>
  <c r="H21" i="3"/>
  <c r="G21" i="12"/>
  <c r="G14" i="12" s="1"/>
  <c r="H21" i="12"/>
  <c r="H14" i="12" s="1"/>
  <c r="F14" i="20"/>
  <c r="F14" i="15"/>
  <c r="F14" i="28"/>
  <c r="G14" i="5"/>
  <c r="G14" i="22"/>
  <c r="G14" i="29"/>
  <c r="G14" i="26"/>
  <c r="G14" i="30"/>
  <c r="G14" i="3"/>
  <c r="H14" i="3"/>
  <c r="F14" i="11"/>
  <c r="F14" i="6"/>
  <c r="F14" i="5"/>
  <c r="F6" i="5" s="1"/>
  <c r="F14" i="4"/>
  <c r="F14" i="23"/>
  <c r="F14" i="21"/>
  <c r="F14" i="19"/>
  <c r="F14" i="18"/>
  <c r="F14" i="17"/>
  <c r="F14" i="16"/>
  <c r="F14" i="29"/>
  <c r="F14" i="27"/>
  <c r="F14" i="26"/>
  <c r="F6" i="25"/>
  <c r="F14" i="24"/>
  <c r="F14" i="30"/>
  <c r="F14" i="3"/>
  <c r="D45" i="5"/>
  <c r="D45" i="4"/>
  <c r="D45" i="21"/>
  <c r="D45" i="29"/>
  <c r="D45" i="27"/>
  <c r="D45" i="26"/>
  <c r="D45" i="25"/>
  <c r="D45" i="24"/>
  <c r="D45" i="30"/>
  <c r="D45" i="13"/>
  <c r="D45" i="12"/>
  <c r="K8" i="6"/>
  <c r="I8" i="6" s="1"/>
  <c r="L8" i="6"/>
  <c r="I8" i="5"/>
  <c r="K8" i="4"/>
  <c r="L8" i="4"/>
  <c r="K8" i="23"/>
  <c r="L8" i="23"/>
  <c r="K8" i="22"/>
  <c r="L8" i="22"/>
  <c r="K8" i="21"/>
  <c r="I8" i="21" s="1"/>
  <c r="L8" i="21"/>
  <c r="I8" i="26"/>
  <c r="I8" i="25"/>
  <c r="I8" i="12"/>
  <c r="J8" i="6"/>
  <c r="J8" i="4"/>
  <c r="J8" i="23"/>
  <c r="I8" i="23" s="1"/>
  <c r="J8" i="22"/>
  <c r="I8" i="22" s="1"/>
  <c r="J8" i="21"/>
  <c r="I8" i="16"/>
  <c r="I8" i="15"/>
  <c r="I8" i="30"/>
  <c r="H8" i="6"/>
  <c r="H8" i="4"/>
  <c r="H8" i="22"/>
  <c r="G8" i="21"/>
  <c r="H8" i="21"/>
  <c r="G6" i="18"/>
  <c r="E8" i="29"/>
  <c r="D8" i="29" s="1"/>
  <c r="E8" i="27"/>
  <c r="F8" i="6"/>
  <c r="F8" i="4"/>
  <c r="F8" i="23"/>
  <c r="F8" i="22"/>
  <c r="F8" i="21"/>
  <c r="F6" i="26"/>
  <c r="F31" i="5"/>
  <c r="F31" i="22"/>
  <c r="F6" i="18"/>
  <c r="F31" i="16"/>
  <c r="F31" i="15"/>
  <c r="F31" i="29"/>
  <c r="F31" i="28"/>
  <c r="F31" i="26"/>
  <c r="F31" i="25"/>
  <c r="F31" i="30"/>
  <c r="L31" i="11"/>
  <c r="L31" i="5"/>
  <c r="L31" i="21"/>
  <c r="L31" i="19"/>
  <c r="L31" i="16"/>
  <c r="K31" i="11"/>
  <c r="K6" i="11" s="1"/>
  <c r="K31" i="6"/>
  <c r="K31" i="5"/>
  <c r="K31" i="4"/>
  <c r="K31" i="23"/>
  <c r="K31" i="22"/>
  <c r="K31" i="21"/>
  <c r="K31" i="20"/>
  <c r="K31" i="19"/>
  <c r="K31" i="17"/>
  <c r="K31" i="16"/>
  <c r="K31" i="15"/>
  <c r="K31" i="28"/>
  <c r="K31" i="27"/>
  <c r="K31" i="30"/>
  <c r="K31" i="13"/>
  <c r="J31" i="6"/>
  <c r="J31" i="5"/>
  <c r="J31" i="22"/>
  <c r="J31" i="21"/>
  <c r="J31" i="20"/>
  <c r="I31" i="5"/>
  <c r="I31" i="21"/>
  <c r="I33" i="11"/>
  <c r="I33" i="5"/>
  <c r="I33" i="21"/>
  <c r="I33" i="20"/>
  <c r="I33" i="16"/>
  <c r="I33" i="27"/>
  <c r="I33" i="24"/>
  <c r="I33" i="30"/>
  <c r="I33" i="12"/>
  <c r="H40" i="11"/>
  <c r="E40" i="11" s="1"/>
  <c r="H40" i="6"/>
  <c r="E40" i="6" s="1"/>
  <c r="H40" i="5"/>
  <c r="E40" i="5" s="1"/>
  <c r="D40" i="5" s="1"/>
  <c r="H40" i="4"/>
  <c r="H40" i="22"/>
  <c r="E40" i="22" s="1"/>
  <c r="H40" i="21"/>
  <c r="H40" i="20"/>
  <c r="E40" i="20" s="1"/>
  <c r="E40" i="19"/>
  <c r="E40" i="14"/>
  <c r="H40" i="17"/>
  <c r="E40" i="17" s="1"/>
  <c r="H40" i="16"/>
  <c r="H40" i="15"/>
  <c r="H40" i="28"/>
  <c r="H40" i="26"/>
  <c r="H31" i="26" s="1"/>
  <c r="H40" i="25"/>
  <c r="H40" i="24"/>
  <c r="E40" i="24" s="1"/>
  <c r="H40" i="13"/>
  <c r="E40" i="27"/>
  <c r="E33" i="18"/>
  <c r="E17" i="11"/>
  <c r="D17" i="11" s="1"/>
  <c r="E17" i="6"/>
  <c r="D17" i="6" s="1"/>
  <c r="E17" i="5"/>
  <c r="D17" i="5" s="1"/>
  <c r="E17" i="4"/>
  <c r="D17" i="4" s="1"/>
  <c r="E17" i="23"/>
  <c r="D17" i="23" s="1"/>
  <c r="E17" i="22"/>
  <c r="D17" i="22" s="1"/>
  <c r="E17" i="21"/>
  <c r="D17" i="21" s="1"/>
  <c r="E17" i="20"/>
  <c r="D17" i="20" s="1"/>
  <c r="E17" i="19"/>
  <c r="D17" i="19" s="1"/>
  <c r="E17" i="18"/>
  <c r="E17" i="14"/>
  <c r="D17" i="14" s="1"/>
  <c r="E17" i="17"/>
  <c r="D17" i="17" s="1"/>
  <c r="E17" i="16"/>
  <c r="D17" i="16" s="1"/>
  <c r="E17" i="15"/>
  <c r="D17" i="15" s="1"/>
  <c r="E17" i="29"/>
  <c r="D17" i="29" s="1"/>
  <c r="E17" i="28"/>
  <c r="D17" i="28" s="1"/>
  <c r="E17" i="27"/>
  <c r="D17" i="27" s="1"/>
  <c r="E17" i="26"/>
  <c r="E17" i="25"/>
  <c r="D17" i="25" s="1"/>
  <c r="E17" i="24"/>
  <c r="D17" i="24" s="1"/>
  <c r="E17" i="30"/>
  <c r="D17" i="30" s="1"/>
  <c r="E17" i="13"/>
  <c r="D17" i="13" s="1"/>
  <c r="E17" i="12"/>
  <c r="D17" i="12" s="1"/>
  <c r="E16" i="11"/>
  <c r="D16" i="11" s="1"/>
  <c r="E16" i="6"/>
  <c r="D16" i="6" s="1"/>
  <c r="E16" i="5"/>
  <c r="D16" i="5" s="1"/>
  <c r="E16" i="4"/>
  <c r="D16" i="4" s="1"/>
  <c r="E16" i="23"/>
  <c r="E16" i="22"/>
  <c r="E16" i="21"/>
  <c r="D16" i="20"/>
  <c r="E16" i="19"/>
  <c r="E16" i="14"/>
  <c r="D16" i="14" s="1"/>
  <c r="E16" i="17"/>
  <c r="D16" i="17" s="1"/>
  <c r="E16" i="16"/>
  <c r="D16" i="16" s="1"/>
  <c r="E16" i="15"/>
  <c r="E16" i="29"/>
  <c r="D16" i="29" s="1"/>
  <c r="E16" i="28"/>
  <c r="D16" i="28" s="1"/>
  <c r="E16" i="27"/>
  <c r="D16" i="27" s="1"/>
  <c r="E16" i="26"/>
  <c r="E16" i="25"/>
  <c r="E16" i="24"/>
  <c r="E16" i="30"/>
  <c r="D16" i="30" s="1"/>
  <c r="E16" i="13"/>
  <c r="D16" i="13" s="1"/>
  <c r="E16" i="12"/>
  <c r="D16" i="12" s="1"/>
  <c r="E13" i="11"/>
  <c r="E13" i="6"/>
  <c r="D13" i="6" s="1"/>
  <c r="E13" i="5"/>
  <c r="D13" i="5" s="1"/>
  <c r="E13" i="4"/>
  <c r="D13" i="4" s="1"/>
  <c r="E13" i="23"/>
  <c r="D13" i="23" s="1"/>
  <c r="E13" i="22"/>
  <c r="D13" i="22" s="1"/>
  <c r="E13" i="21"/>
  <c r="D13" i="21" s="1"/>
  <c r="E13" i="20"/>
  <c r="D13" i="20" s="1"/>
  <c r="E13" i="19"/>
  <c r="E13" i="14"/>
  <c r="E13" i="17"/>
  <c r="D13" i="17" s="1"/>
  <c r="E13" i="16"/>
  <c r="E13" i="15"/>
  <c r="E13" i="29"/>
  <c r="D13" i="29" s="1"/>
  <c r="E13" i="28"/>
  <c r="E13" i="27"/>
  <c r="D13" i="27" s="1"/>
  <c r="E13" i="26"/>
  <c r="E13" i="25"/>
  <c r="E13" i="24"/>
  <c r="E13" i="30"/>
  <c r="D13" i="30" s="1"/>
  <c r="E13" i="13"/>
  <c r="D13" i="13" s="1"/>
  <c r="E13" i="12"/>
  <c r="E11" i="11"/>
  <c r="E11" i="6"/>
  <c r="D11" i="6" s="1"/>
  <c r="E11" i="5"/>
  <c r="D11" i="5" s="1"/>
  <c r="E11" i="4"/>
  <c r="D11" i="4" s="1"/>
  <c r="E11" i="23"/>
  <c r="D11" i="23" s="1"/>
  <c r="E11" i="22"/>
  <c r="D11" i="22" s="1"/>
  <c r="E11" i="21"/>
  <c r="D11" i="21" s="1"/>
  <c r="D11" i="20"/>
  <c r="E11" i="19"/>
  <c r="D11" i="19" s="1"/>
  <c r="E11" i="18"/>
  <c r="E11" i="14"/>
  <c r="E11" i="17"/>
  <c r="D11" i="17" s="1"/>
  <c r="E11" i="16"/>
  <c r="D11" i="16" s="1"/>
  <c r="E11" i="15"/>
  <c r="D11" i="15" s="1"/>
  <c r="E11" i="29"/>
  <c r="D11" i="29" s="1"/>
  <c r="E11" i="28"/>
  <c r="E11" i="27"/>
  <c r="D11" i="27" s="1"/>
  <c r="E11" i="26"/>
  <c r="E11" i="25"/>
  <c r="D11" i="25" s="1"/>
  <c r="E11" i="24"/>
  <c r="E11" i="30"/>
  <c r="D11" i="30" s="1"/>
  <c r="E11" i="13"/>
  <c r="D11" i="13" s="1"/>
  <c r="E11" i="12"/>
  <c r="D11" i="12" s="1"/>
  <c r="E10" i="11"/>
  <c r="E10" i="6"/>
  <c r="D10" i="6" s="1"/>
  <c r="E10" i="5"/>
  <c r="D10" i="5" s="1"/>
  <c r="E10" i="4"/>
  <c r="D10" i="4" s="1"/>
  <c r="E10" i="23"/>
  <c r="D10" i="23" s="1"/>
  <c r="E10" i="22"/>
  <c r="D10" i="22" s="1"/>
  <c r="E10" i="21"/>
  <c r="D10" i="21" s="1"/>
  <c r="D10" i="20"/>
  <c r="E10" i="19"/>
  <c r="E10" i="14"/>
  <c r="E10" i="17"/>
  <c r="D10" i="17" s="1"/>
  <c r="E10" i="16"/>
  <c r="E10" i="15"/>
  <c r="E10" i="29"/>
  <c r="D10" i="29" s="1"/>
  <c r="E10" i="28"/>
  <c r="E10" i="27"/>
  <c r="D10" i="27" s="1"/>
  <c r="E10" i="26"/>
  <c r="E10" i="25"/>
  <c r="E10" i="24"/>
  <c r="E10" i="30"/>
  <c r="D10" i="30" s="1"/>
  <c r="E10" i="12"/>
  <c r="D34" i="11"/>
  <c r="D36" i="11"/>
  <c r="D37" i="11"/>
  <c r="D38" i="11"/>
  <c r="D39" i="11"/>
  <c r="D46" i="11"/>
  <c r="D34" i="6"/>
  <c r="D38" i="6"/>
  <c r="D39" i="6"/>
  <c r="D46" i="6"/>
  <c r="D34" i="5"/>
  <c r="D38" i="5"/>
  <c r="D39" i="5"/>
  <c r="D41" i="5"/>
  <c r="D42" i="5"/>
  <c r="D43" i="5"/>
  <c r="D34" i="4"/>
  <c r="D38" i="4"/>
  <c r="D39" i="4"/>
  <c r="D46" i="4"/>
  <c r="D34" i="23"/>
  <c r="D38" i="23"/>
  <c r="D39" i="23"/>
  <c r="D46" i="23"/>
  <c r="D34" i="22"/>
  <c r="D36" i="22"/>
  <c r="D37" i="22"/>
  <c r="D38" i="22"/>
  <c r="D39" i="22"/>
  <c r="D34" i="21"/>
  <c r="D36" i="21"/>
  <c r="D37" i="21"/>
  <c r="D38" i="21"/>
  <c r="D39" i="21"/>
  <c r="D41" i="21"/>
  <c r="D42" i="21"/>
  <c r="D43" i="21"/>
  <c r="D34" i="20"/>
  <c r="D36" i="20"/>
  <c r="D37" i="20"/>
  <c r="D38" i="20"/>
  <c r="D39" i="20"/>
  <c r="D42" i="20"/>
  <c r="D43" i="20"/>
  <c r="D46" i="20"/>
  <c r="D34" i="19"/>
  <c r="D36" i="19"/>
  <c r="D37" i="19"/>
  <c r="D38" i="19"/>
  <c r="D39" i="19"/>
  <c r="D42" i="19"/>
  <c r="D43" i="19"/>
  <c r="D46" i="19"/>
  <c r="D36" i="18"/>
  <c r="D34" i="14"/>
  <c r="D46" i="14"/>
  <c r="D34" i="17"/>
  <c r="D36" i="17"/>
  <c r="D37" i="17"/>
  <c r="D38" i="17"/>
  <c r="D39" i="17"/>
  <c r="D42" i="17"/>
  <c r="D46" i="17"/>
  <c r="D34" i="16"/>
  <c r="D37" i="16"/>
  <c r="D38" i="16"/>
  <c r="D39" i="16"/>
  <c r="D42" i="16"/>
  <c r="D43" i="16"/>
  <c r="D46" i="16"/>
  <c r="D34" i="15"/>
  <c r="D37" i="15"/>
  <c r="D38" i="15"/>
  <c r="D39" i="15"/>
  <c r="D34" i="29"/>
  <c r="D38" i="29"/>
  <c r="D39" i="29"/>
  <c r="D41" i="29"/>
  <c r="D42" i="29"/>
  <c r="D43" i="29"/>
  <c r="D34" i="28"/>
  <c r="D38" i="28"/>
  <c r="D39" i="28"/>
  <c r="D34" i="27"/>
  <c r="D38" i="27"/>
  <c r="D39" i="27"/>
  <c r="D41" i="27"/>
  <c r="D42" i="27"/>
  <c r="D43" i="27"/>
  <c r="D34" i="26"/>
  <c r="D38" i="26"/>
  <c r="D39" i="26"/>
  <c r="D34" i="25"/>
  <c r="D34" i="24"/>
  <c r="D38" i="24"/>
  <c r="D39" i="24"/>
  <c r="D41" i="24"/>
  <c r="D42" i="24"/>
  <c r="D34" i="30"/>
  <c r="D38" i="30"/>
  <c r="D39" i="30"/>
  <c r="D34" i="13"/>
  <c r="D38" i="13"/>
  <c r="D39" i="13"/>
  <c r="D34" i="12"/>
  <c r="D38" i="12"/>
  <c r="D39" i="12"/>
  <c r="D43" i="12"/>
  <c r="D46" i="12"/>
  <c r="D20" i="11"/>
  <c r="D20" i="4"/>
  <c r="D27" i="23"/>
  <c r="D27" i="22"/>
  <c r="D26" i="22"/>
  <c r="D24" i="22"/>
  <c r="D20" i="22"/>
  <c r="D27" i="21"/>
  <c r="D26" i="21"/>
  <c r="D24" i="21"/>
  <c r="D23" i="21"/>
  <c r="D22" i="21"/>
  <c r="D20" i="21"/>
  <c r="D19" i="21"/>
  <c r="D18" i="21"/>
  <c r="D27" i="20"/>
  <c r="D24" i="20"/>
  <c r="D27" i="19"/>
  <c r="D24" i="19"/>
  <c r="D20" i="19"/>
  <c r="D24" i="14"/>
  <c r="D20" i="14"/>
  <c r="D20" i="17"/>
  <c r="D20" i="16"/>
  <c r="D27" i="28"/>
  <c r="D20" i="28"/>
  <c r="D20" i="27"/>
  <c r="D20" i="26"/>
  <c r="D20" i="24"/>
  <c r="D24" i="30"/>
  <c r="D20" i="30"/>
  <c r="D20" i="13"/>
  <c r="D24" i="12"/>
  <c r="D20" i="12"/>
  <c r="D12" i="21"/>
  <c r="I13" i="11"/>
  <c r="I12" i="11"/>
  <c r="I11" i="11"/>
  <c r="I10" i="11"/>
  <c r="I13" i="6"/>
  <c r="I12" i="6"/>
  <c r="I11" i="6"/>
  <c r="I10" i="6"/>
  <c r="I13" i="5"/>
  <c r="I12" i="5"/>
  <c r="I11" i="5"/>
  <c r="I10" i="5"/>
  <c r="I13" i="4"/>
  <c r="I12" i="4"/>
  <c r="I11" i="4"/>
  <c r="I10" i="4"/>
  <c r="I13" i="23"/>
  <c r="I12" i="23"/>
  <c r="I11" i="23"/>
  <c r="I10" i="23"/>
  <c r="I13" i="22"/>
  <c r="I12" i="22"/>
  <c r="I11" i="22"/>
  <c r="I10" i="22"/>
  <c r="I13" i="21"/>
  <c r="I12" i="21"/>
  <c r="I11" i="21"/>
  <c r="I10" i="21"/>
  <c r="I13" i="20"/>
  <c r="I12" i="20"/>
  <c r="I11" i="20"/>
  <c r="I10" i="20"/>
  <c r="I13" i="19"/>
  <c r="I12" i="19"/>
  <c r="I11" i="19"/>
  <c r="I10" i="19"/>
  <c r="I13" i="18"/>
  <c r="I12" i="18"/>
  <c r="I11" i="18"/>
  <c r="I10" i="18"/>
  <c r="I13" i="14"/>
  <c r="I12" i="14"/>
  <c r="I11" i="14"/>
  <c r="I10" i="14"/>
  <c r="I13" i="17"/>
  <c r="I12" i="17"/>
  <c r="I11" i="17"/>
  <c r="I10" i="17"/>
  <c r="I13" i="16"/>
  <c r="I12" i="16"/>
  <c r="I11" i="16"/>
  <c r="I10" i="16"/>
  <c r="I13" i="15"/>
  <c r="I12" i="15"/>
  <c r="I11" i="15"/>
  <c r="I10" i="15"/>
  <c r="I13" i="29"/>
  <c r="I12" i="29"/>
  <c r="I11" i="29"/>
  <c r="I10" i="29"/>
  <c r="I13" i="28"/>
  <c r="I12" i="28"/>
  <c r="I11" i="28"/>
  <c r="I10" i="28"/>
  <c r="I13" i="27"/>
  <c r="I12" i="27"/>
  <c r="I11" i="27"/>
  <c r="I10" i="27"/>
  <c r="I13" i="26"/>
  <c r="I12" i="26"/>
  <c r="I11" i="26"/>
  <c r="I10" i="26"/>
  <c r="I13" i="25"/>
  <c r="I12" i="25"/>
  <c r="I11" i="25"/>
  <c r="I10" i="25"/>
  <c r="I13" i="24"/>
  <c r="I12" i="24"/>
  <c r="I11" i="24"/>
  <c r="I10" i="24"/>
  <c r="I13" i="30"/>
  <c r="I12" i="30"/>
  <c r="I11" i="30"/>
  <c r="I10" i="30"/>
  <c r="I13" i="13"/>
  <c r="I12" i="13"/>
  <c r="I11" i="13"/>
  <c r="I10" i="13"/>
  <c r="I13" i="12"/>
  <c r="I12" i="12"/>
  <c r="I11" i="12"/>
  <c r="I10" i="12"/>
  <c r="I27" i="11"/>
  <c r="I26" i="11"/>
  <c r="I25" i="11"/>
  <c r="I24" i="11"/>
  <c r="I23" i="11"/>
  <c r="I22" i="11"/>
  <c r="I21" i="11"/>
  <c r="I20" i="11"/>
  <c r="I19" i="11"/>
  <c r="I18" i="11"/>
  <c r="I17" i="11"/>
  <c r="I16" i="11"/>
  <c r="I27" i="6"/>
  <c r="I26" i="6"/>
  <c r="I25" i="6"/>
  <c r="I24" i="6"/>
  <c r="I23" i="6"/>
  <c r="I22" i="6"/>
  <c r="I21" i="6"/>
  <c r="I20" i="6"/>
  <c r="I19" i="6"/>
  <c r="I18" i="6"/>
  <c r="I17" i="6"/>
  <c r="I16" i="6"/>
  <c r="I27" i="5"/>
  <c r="I26" i="5"/>
  <c r="I25" i="5"/>
  <c r="I24" i="5"/>
  <c r="I23" i="5"/>
  <c r="I22" i="5"/>
  <c r="I21" i="5"/>
  <c r="I20" i="5"/>
  <c r="I19" i="5"/>
  <c r="I18" i="5"/>
  <c r="I17" i="5"/>
  <c r="I16" i="5"/>
  <c r="I27" i="4"/>
  <c r="I26" i="4"/>
  <c r="I25" i="4"/>
  <c r="I24" i="4"/>
  <c r="I23" i="4"/>
  <c r="I22" i="4"/>
  <c r="I21" i="4"/>
  <c r="I20" i="4"/>
  <c r="I19" i="4"/>
  <c r="I18" i="4"/>
  <c r="I17" i="4"/>
  <c r="I16" i="4"/>
  <c r="I27" i="23"/>
  <c r="I26" i="23"/>
  <c r="I25" i="23"/>
  <c r="I24" i="23"/>
  <c r="I23" i="23"/>
  <c r="I22" i="23"/>
  <c r="I21" i="23"/>
  <c r="I20" i="23"/>
  <c r="I19" i="23"/>
  <c r="I18" i="23"/>
  <c r="I17" i="23"/>
  <c r="I16" i="23"/>
  <c r="I27" i="22"/>
  <c r="I26" i="22"/>
  <c r="I25" i="22"/>
  <c r="I24" i="22"/>
  <c r="I23" i="22"/>
  <c r="I22" i="22"/>
  <c r="I21" i="22"/>
  <c r="I20" i="22"/>
  <c r="I19" i="22"/>
  <c r="I18" i="22"/>
  <c r="I17" i="22"/>
  <c r="I16" i="22"/>
  <c r="I27" i="21"/>
  <c r="I26" i="21"/>
  <c r="I25" i="21"/>
  <c r="I24" i="21"/>
  <c r="I23" i="21"/>
  <c r="I22" i="21"/>
  <c r="I21" i="21"/>
  <c r="I20" i="21"/>
  <c r="I19" i="21"/>
  <c r="I18" i="21"/>
  <c r="I17" i="21"/>
  <c r="I16" i="21"/>
  <c r="I27" i="20"/>
  <c r="I26" i="20"/>
  <c r="I25" i="20"/>
  <c r="I24" i="20"/>
  <c r="I23" i="20"/>
  <c r="I22" i="20"/>
  <c r="I21" i="20"/>
  <c r="I20" i="20"/>
  <c r="I19" i="20"/>
  <c r="I18" i="20"/>
  <c r="I17" i="20"/>
  <c r="I16" i="20"/>
  <c r="I27" i="19"/>
  <c r="I26" i="19"/>
  <c r="I25" i="19"/>
  <c r="I14" i="19" s="1"/>
  <c r="I24" i="19"/>
  <c r="I23" i="19"/>
  <c r="I22" i="19"/>
  <c r="I21" i="19"/>
  <c r="I20" i="19"/>
  <c r="I19" i="19"/>
  <c r="I18" i="19"/>
  <c r="I17" i="19"/>
  <c r="I16" i="19"/>
  <c r="I27" i="18"/>
  <c r="I26" i="18"/>
  <c r="I25" i="18"/>
  <c r="I24" i="18"/>
  <c r="I23" i="18"/>
  <c r="I22" i="18"/>
  <c r="I21" i="18"/>
  <c r="I20" i="18"/>
  <c r="D20" i="18" s="1"/>
  <c r="I18" i="18"/>
  <c r="I17" i="18"/>
  <c r="I16" i="18"/>
  <c r="I27" i="14"/>
  <c r="I26" i="14"/>
  <c r="I25" i="14"/>
  <c r="I24" i="14"/>
  <c r="I23" i="14"/>
  <c r="I22" i="14"/>
  <c r="I21" i="14"/>
  <c r="I20" i="14"/>
  <c r="I19" i="14"/>
  <c r="I18" i="14"/>
  <c r="I17" i="14"/>
  <c r="I16" i="14"/>
  <c r="I27" i="17"/>
  <c r="I26" i="17"/>
  <c r="I25" i="17"/>
  <c r="I24" i="17"/>
  <c r="I23" i="17"/>
  <c r="I22" i="17"/>
  <c r="I20" i="17"/>
  <c r="I19" i="17"/>
  <c r="I18" i="17"/>
  <c r="I17" i="17"/>
  <c r="I16" i="17"/>
  <c r="I27" i="16"/>
  <c r="I26" i="16"/>
  <c r="I25" i="16"/>
  <c r="I24" i="16"/>
  <c r="I23" i="16"/>
  <c r="I22" i="16"/>
  <c r="I21" i="16"/>
  <c r="I20" i="16"/>
  <c r="I19" i="16"/>
  <c r="I18" i="16"/>
  <c r="I17" i="16"/>
  <c r="I16" i="16"/>
  <c r="I27" i="15"/>
  <c r="I26" i="15"/>
  <c r="I25" i="15"/>
  <c r="I24" i="15"/>
  <c r="I23" i="15"/>
  <c r="I22" i="15"/>
  <c r="I20" i="15"/>
  <c r="I19" i="15"/>
  <c r="I18" i="15"/>
  <c r="I17" i="15"/>
  <c r="I16" i="15"/>
  <c r="I27" i="29"/>
  <c r="I26" i="29"/>
  <c r="I25" i="29"/>
  <c r="I24" i="29"/>
  <c r="I23" i="29"/>
  <c r="I22" i="29"/>
  <c r="I20" i="29"/>
  <c r="I19" i="29"/>
  <c r="I18" i="29"/>
  <c r="I17" i="29"/>
  <c r="I16" i="29"/>
  <c r="I27" i="28"/>
  <c r="I26" i="28"/>
  <c r="I25" i="28"/>
  <c r="I24" i="28"/>
  <c r="I23" i="28"/>
  <c r="I22" i="28"/>
  <c r="I21" i="28"/>
  <c r="I20" i="28"/>
  <c r="I19" i="28"/>
  <c r="I18" i="28"/>
  <c r="I17" i="28"/>
  <c r="I16" i="28"/>
  <c r="I27" i="27"/>
  <c r="I26" i="27"/>
  <c r="I25" i="27"/>
  <c r="I24" i="27"/>
  <c r="I23" i="27"/>
  <c r="I22" i="27"/>
  <c r="I21" i="27"/>
  <c r="I20" i="27"/>
  <c r="I19" i="27"/>
  <c r="I18" i="27"/>
  <c r="I17" i="27"/>
  <c r="I16" i="27"/>
  <c r="I27" i="26"/>
  <c r="I26" i="26"/>
  <c r="I25" i="26"/>
  <c r="I24" i="26"/>
  <c r="D24" i="26" s="1"/>
  <c r="I23" i="26"/>
  <c r="I22" i="26"/>
  <c r="I21" i="26"/>
  <c r="I20" i="26"/>
  <c r="I19" i="26"/>
  <c r="I18" i="26"/>
  <c r="I17" i="26"/>
  <c r="I16" i="26"/>
  <c r="I27" i="25"/>
  <c r="I26" i="25"/>
  <c r="I25" i="25"/>
  <c r="I24" i="25"/>
  <c r="I23" i="25"/>
  <c r="I22" i="25"/>
  <c r="I21" i="25"/>
  <c r="I20" i="25"/>
  <c r="I19" i="25"/>
  <c r="I18" i="25"/>
  <c r="I17" i="25"/>
  <c r="I16" i="25"/>
  <c r="I27" i="24"/>
  <c r="I26" i="24"/>
  <c r="I25" i="24"/>
  <c r="I24" i="24"/>
  <c r="D24" i="24" s="1"/>
  <c r="I23" i="24"/>
  <c r="I22" i="24"/>
  <c r="I21" i="24"/>
  <c r="I20" i="24"/>
  <c r="I19" i="24"/>
  <c r="I18" i="24"/>
  <c r="I17" i="24"/>
  <c r="I16" i="24"/>
  <c r="I27" i="30"/>
  <c r="I26" i="30"/>
  <c r="I25" i="30"/>
  <c r="I24" i="30"/>
  <c r="I23" i="30"/>
  <c r="I22" i="30"/>
  <c r="I21" i="30"/>
  <c r="I20" i="30"/>
  <c r="I19" i="30"/>
  <c r="I18" i="30"/>
  <c r="I17" i="30"/>
  <c r="I16" i="30"/>
  <c r="I27" i="13"/>
  <c r="I26" i="13"/>
  <c r="I25" i="13"/>
  <c r="I24" i="13"/>
  <c r="I23" i="13"/>
  <c r="I22" i="13"/>
  <c r="I21" i="13"/>
  <c r="I20" i="13"/>
  <c r="I19" i="13"/>
  <c r="I18" i="13"/>
  <c r="I17" i="13"/>
  <c r="I16" i="13"/>
  <c r="I27" i="12"/>
  <c r="I26" i="12"/>
  <c r="I25" i="12"/>
  <c r="I24" i="12"/>
  <c r="I23" i="12"/>
  <c r="I22" i="12"/>
  <c r="I21" i="12"/>
  <c r="I20" i="12"/>
  <c r="I19" i="12"/>
  <c r="I18" i="12"/>
  <c r="I17" i="12"/>
  <c r="I16" i="12"/>
  <c r="I46" i="11"/>
  <c r="I45" i="11"/>
  <c r="D45" i="11" s="1"/>
  <c r="I44" i="11"/>
  <c r="I43" i="11"/>
  <c r="I42" i="11"/>
  <c r="I41" i="11"/>
  <c r="I39" i="11"/>
  <c r="I38" i="11"/>
  <c r="I37" i="11"/>
  <c r="I36" i="11"/>
  <c r="I35" i="11"/>
  <c r="I34" i="11"/>
  <c r="I46" i="6"/>
  <c r="I45" i="6"/>
  <c r="I44" i="6"/>
  <c r="I43" i="6"/>
  <c r="I42" i="6"/>
  <c r="I41" i="6"/>
  <c r="I39" i="6"/>
  <c r="I38" i="6"/>
  <c r="I37" i="6"/>
  <c r="I36" i="6"/>
  <c r="I35" i="6"/>
  <c r="I34" i="6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46" i="4"/>
  <c r="I45" i="4"/>
  <c r="I44" i="4"/>
  <c r="I43" i="4"/>
  <c r="I42" i="4"/>
  <c r="I41" i="4"/>
  <c r="I39" i="4"/>
  <c r="I38" i="4"/>
  <c r="I37" i="4"/>
  <c r="I36" i="4"/>
  <c r="I35" i="4"/>
  <c r="I34" i="4"/>
  <c r="I46" i="23"/>
  <c r="I45" i="23"/>
  <c r="I44" i="23"/>
  <c r="I43" i="23"/>
  <c r="I42" i="23"/>
  <c r="I41" i="23"/>
  <c r="I39" i="23"/>
  <c r="I38" i="23"/>
  <c r="I37" i="23"/>
  <c r="I36" i="23"/>
  <c r="I35" i="23"/>
  <c r="I34" i="23"/>
  <c r="I46" i="22"/>
  <c r="I45" i="22"/>
  <c r="I44" i="22"/>
  <c r="I43" i="22"/>
  <c r="I42" i="22"/>
  <c r="D42" i="22" s="1"/>
  <c r="I41" i="22"/>
  <c r="I39" i="22"/>
  <c r="I38" i="22"/>
  <c r="I37" i="22"/>
  <c r="I36" i="22"/>
  <c r="I35" i="22"/>
  <c r="I34" i="22"/>
  <c r="I46" i="21"/>
  <c r="I45" i="21"/>
  <c r="I44" i="21"/>
  <c r="I43" i="21"/>
  <c r="I42" i="21"/>
  <c r="I41" i="21"/>
  <c r="I40" i="21"/>
  <c r="I39" i="21"/>
  <c r="I38" i="21"/>
  <c r="I37" i="21"/>
  <c r="I36" i="21"/>
  <c r="I35" i="21"/>
  <c r="I34" i="21"/>
  <c r="I46" i="20"/>
  <c r="I45" i="20"/>
  <c r="I44" i="20"/>
  <c r="I43" i="20"/>
  <c r="I42" i="20"/>
  <c r="I41" i="20"/>
  <c r="D41" i="20" s="1"/>
  <c r="I39" i="20"/>
  <c r="I38" i="20"/>
  <c r="I37" i="20"/>
  <c r="I36" i="20"/>
  <c r="I35" i="20"/>
  <c r="I34" i="20"/>
  <c r="I46" i="19"/>
  <c r="I45" i="19"/>
  <c r="D45" i="19" s="1"/>
  <c r="I44" i="19"/>
  <c r="I43" i="19"/>
  <c r="I42" i="19"/>
  <c r="I41" i="19"/>
  <c r="I39" i="19"/>
  <c r="I38" i="19"/>
  <c r="I37" i="19"/>
  <c r="I36" i="19"/>
  <c r="I35" i="19"/>
  <c r="I34" i="19"/>
  <c r="I46" i="18"/>
  <c r="I45" i="18"/>
  <c r="I44" i="18"/>
  <c r="I43" i="18"/>
  <c r="I42" i="18"/>
  <c r="I41" i="18"/>
  <c r="I39" i="18"/>
  <c r="I38" i="18"/>
  <c r="I37" i="18"/>
  <c r="I36" i="18"/>
  <c r="I35" i="18"/>
  <c r="I34" i="18"/>
  <c r="I46" i="14"/>
  <c r="I45" i="14"/>
  <c r="I44" i="14"/>
  <c r="I43" i="14"/>
  <c r="I42" i="14"/>
  <c r="I41" i="14"/>
  <c r="I39" i="14"/>
  <c r="I38" i="14"/>
  <c r="I37" i="14"/>
  <c r="I36" i="14"/>
  <c r="I35" i="14"/>
  <c r="I34" i="14"/>
  <c r="I46" i="17"/>
  <c r="I45" i="17"/>
  <c r="I44" i="17"/>
  <c r="I43" i="17"/>
  <c r="D43" i="17" s="1"/>
  <c r="I42" i="17"/>
  <c r="I41" i="17"/>
  <c r="I39" i="17"/>
  <c r="I38" i="17"/>
  <c r="I37" i="17"/>
  <c r="I36" i="17"/>
  <c r="I35" i="17"/>
  <c r="I34" i="17"/>
  <c r="I46" i="16"/>
  <c r="I45" i="16"/>
  <c r="I44" i="16"/>
  <c r="I43" i="16"/>
  <c r="I42" i="16"/>
  <c r="I41" i="16"/>
  <c r="I39" i="16"/>
  <c r="I38" i="16"/>
  <c r="I37" i="16"/>
  <c r="I36" i="16"/>
  <c r="I35" i="16"/>
  <c r="I34" i="16"/>
  <c r="I46" i="15"/>
  <c r="D46" i="15" s="1"/>
  <c r="I45" i="15"/>
  <c r="I44" i="15"/>
  <c r="I43" i="15"/>
  <c r="I42" i="15"/>
  <c r="I41" i="15"/>
  <c r="I39" i="15"/>
  <c r="I38" i="15"/>
  <c r="I37" i="15"/>
  <c r="I36" i="15"/>
  <c r="I35" i="15"/>
  <c r="I34" i="15"/>
  <c r="I46" i="29"/>
  <c r="I45" i="29"/>
  <c r="I44" i="29"/>
  <c r="I43" i="29"/>
  <c r="I42" i="29"/>
  <c r="I41" i="29"/>
  <c r="I39" i="29"/>
  <c r="I38" i="29"/>
  <c r="I37" i="29"/>
  <c r="I36" i="29"/>
  <c r="I35" i="29"/>
  <c r="I34" i="29"/>
  <c r="I46" i="28"/>
  <c r="D46" i="28" s="1"/>
  <c r="I45" i="28"/>
  <c r="I44" i="28"/>
  <c r="I43" i="28"/>
  <c r="I42" i="28"/>
  <c r="I41" i="28"/>
  <c r="I39" i="28"/>
  <c r="I38" i="28"/>
  <c r="I37" i="28"/>
  <c r="I36" i="28"/>
  <c r="I35" i="28"/>
  <c r="I34" i="28"/>
  <c r="I46" i="27"/>
  <c r="I45" i="27"/>
  <c r="I44" i="27"/>
  <c r="I43" i="27"/>
  <c r="I42" i="27"/>
  <c r="I41" i="27"/>
  <c r="I39" i="27"/>
  <c r="I38" i="27"/>
  <c r="I37" i="27"/>
  <c r="I36" i="27"/>
  <c r="I35" i="27"/>
  <c r="I34" i="27"/>
  <c r="I46" i="26"/>
  <c r="D46" i="26" s="1"/>
  <c r="I45" i="26"/>
  <c r="I44" i="26"/>
  <c r="I43" i="26"/>
  <c r="I42" i="26"/>
  <c r="I41" i="26"/>
  <c r="I39" i="26"/>
  <c r="I38" i="26"/>
  <c r="I37" i="26"/>
  <c r="I36" i="26"/>
  <c r="I35" i="26"/>
  <c r="I34" i="26"/>
  <c r="I46" i="25"/>
  <c r="I45" i="25"/>
  <c r="I44" i="25"/>
  <c r="I43" i="25"/>
  <c r="I42" i="25"/>
  <c r="D42" i="25" s="1"/>
  <c r="I41" i="25"/>
  <c r="D41" i="25" s="1"/>
  <c r="I39" i="25"/>
  <c r="I38" i="25"/>
  <c r="I37" i="25"/>
  <c r="I36" i="25"/>
  <c r="I35" i="25"/>
  <c r="I34" i="25"/>
  <c r="I46" i="24"/>
  <c r="I45" i="24"/>
  <c r="I44" i="24"/>
  <c r="I43" i="24"/>
  <c r="I42" i="24"/>
  <c r="I41" i="24"/>
  <c r="I39" i="24"/>
  <c r="I38" i="24"/>
  <c r="I37" i="24"/>
  <c r="I36" i="24"/>
  <c r="I35" i="24"/>
  <c r="I34" i="24"/>
  <c r="I46" i="30"/>
  <c r="I45" i="30"/>
  <c r="I44" i="30"/>
  <c r="I43" i="30"/>
  <c r="I42" i="30"/>
  <c r="I41" i="30"/>
  <c r="I39" i="30"/>
  <c r="I38" i="30"/>
  <c r="I37" i="30"/>
  <c r="I36" i="30"/>
  <c r="I35" i="30"/>
  <c r="I34" i="30"/>
  <c r="I46" i="13"/>
  <c r="I45" i="13"/>
  <c r="I44" i="13"/>
  <c r="I43" i="13"/>
  <c r="D43" i="13" s="1"/>
  <c r="I42" i="13"/>
  <c r="D42" i="13" s="1"/>
  <c r="I41" i="13"/>
  <c r="D41" i="13" s="1"/>
  <c r="I39" i="13"/>
  <c r="I38" i="13"/>
  <c r="I37" i="13"/>
  <c r="I36" i="13"/>
  <c r="I35" i="13"/>
  <c r="I34" i="13"/>
  <c r="I46" i="12"/>
  <c r="I45" i="12"/>
  <c r="I44" i="12"/>
  <c r="I43" i="12"/>
  <c r="I42" i="12"/>
  <c r="D42" i="12" s="1"/>
  <c r="I41" i="12"/>
  <c r="D41" i="12" s="1"/>
  <c r="I39" i="12"/>
  <c r="I38" i="12"/>
  <c r="I37" i="12"/>
  <c r="I36" i="12"/>
  <c r="I35" i="12"/>
  <c r="I34" i="12"/>
  <c r="E46" i="11"/>
  <c r="E45" i="11"/>
  <c r="E44" i="11"/>
  <c r="D44" i="11" s="1"/>
  <c r="E43" i="11"/>
  <c r="D43" i="11" s="1"/>
  <c r="E42" i="11"/>
  <c r="D42" i="11" s="1"/>
  <c r="E41" i="11"/>
  <c r="D41" i="11" s="1"/>
  <c r="E39" i="11"/>
  <c r="E38" i="11"/>
  <c r="E37" i="11"/>
  <c r="E36" i="11"/>
  <c r="E35" i="11"/>
  <c r="D35" i="11" s="1"/>
  <c r="E34" i="11"/>
  <c r="E46" i="6"/>
  <c r="E45" i="6"/>
  <c r="E44" i="6"/>
  <c r="D44" i="6" s="1"/>
  <c r="E43" i="6"/>
  <c r="D43" i="6" s="1"/>
  <c r="E42" i="6"/>
  <c r="D42" i="6" s="1"/>
  <c r="E41" i="6"/>
  <c r="D41" i="6" s="1"/>
  <c r="E39" i="6"/>
  <c r="E38" i="6"/>
  <c r="E37" i="6"/>
  <c r="D37" i="6" s="1"/>
  <c r="E36" i="6"/>
  <c r="D36" i="6" s="1"/>
  <c r="E35" i="6"/>
  <c r="E34" i="6"/>
  <c r="E46" i="5"/>
  <c r="D46" i="5" s="1"/>
  <c r="E45" i="5"/>
  <c r="E44" i="5"/>
  <c r="D44" i="5" s="1"/>
  <c r="E43" i="5"/>
  <c r="E42" i="5"/>
  <c r="E41" i="5"/>
  <c r="E39" i="5"/>
  <c r="E38" i="5"/>
  <c r="E37" i="5"/>
  <c r="D37" i="5" s="1"/>
  <c r="E36" i="5"/>
  <c r="D36" i="5" s="1"/>
  <c r="E35" i="5"/>
  <c r="D35" i="5" s="1"/>
  <c r="E34" i="5"/>
  <c r="E46" i="4"/>
  <c r="E45" i="4"/>
  <c r="E44" i="4"/>
  <c r="E43" i="4"/>
  <c r="D43" i="4" s="1"/>
  <c r="E42" i="4"/>
  <c r="D42" i="4" s="1"/>
  <c r="E41" i="4"/>
  <c r="D41" i="4" s="1"/>
  <c r="E39" i="4"/>
  <c r="E38" i="4"/>
  <c r="E37" i="4"/>
  <c r="D37" i="4" s="1"/>
  <c r="E36" i="4"/>
  <c r="E35" i="4"/>
  <c r="D35" i="4" s="1"/>
  <c r="E34" i="4"/>
  <c r="E46" i="23"/>
  <c r="E45" i="23"/>
  <c r="E44" i="23"/>
  <c r="E43" i="23"/>
  <c r="D43" i="23" s="1"/>
  <c r="E42" i="23"/>
  <c r="D42" i="23" s="1"/>
  <c r="E41" i="23"/>
  <c r="D41" i="23" s="1"/>
  <c r="E39" i="23"/>
  <c r="E38" i="23"/>
  <c r="E37" i="23"/>
  <c r="D37" i="23" s="1"/>
  <c r="E36" i="23"/>
  <c r="D36" i="23" s="1"/>
  <c r="E35" i="23"/>
  <c r="E34" i="23"/>
  <c r="E45" i="22"/>
  <c r="E44" i="22"/>
  <c r="D44" i="22" s="1"/>
  <c r="E43" i="22"/>
  <c r="D43" i="22" s="1"/>
  <c r="E42" i="22"/>
  <c r="E41" i="22"/>
  <c r="D41" i="22" s="1"/>
  <c r="E39" i="22"/>
  <c r="E38" i="22"/>
  <c r="E37" i="22"/>
  <c r="E36" i="22"/>
  <c r="E35" i="22"/>
  <c r="E34" i="22"/>
  <c r="E46" i="21"/>
  <c r="D46" i="21" s="1"/>
  <c r="E45" i="21"/>
  <c r="E44" i="21"/>
  <c r="D44" i="21" s="1"/>
  <c r="E43" i="21"/>
  <c r="E42" i="21"/>
  <c r="E41" i="21"/>
  <c r="E39" i="21"/>
  <c r="E38" i="21"/>
  <c r="E37" i="21"/>
  <c r="E36" i="21"/>
  <c r="E35" i="21"/>
  <c r="D35" i="21" s="1"/>
  <c r="E34" i="21"/>
  <c r="E46" i="20"/>
  <c r="E45" i="20"/>
  <c r="E44" i="20"/>
  <c r="E43" i="20"/>
  <c r="E42" i="20"/>
  <c r="E41" i="20"/>
  <c r="E39" i="20"/>
  <c r="E38" i="20"/>
  <c r="E37" i="20"/>
  <c r="E35" i="20"/>
  <c r="D35" i="20" s="1"/>
  <c r="E46" i="19"/>
  <c r="E45" i="19"/>
  <c r="E44" i="19"/>
  <c r="D44" i="19" s="1"/>
  <c r="E43" i="19"/>
  <c r="E42" i="19"/>
  <c r="E41" i="19"/>
  <c r="D41" i="19" s="1"/>
  <c r="E39" i="19"/>
  <c r="E38" i="19"/>
  <c r="E37" i="19"/>
  <c r="E36" i="19"/>
  <c r="E35" i="19"/>
  <c r="E34" i="19"/>
  <c r="E45" i="18"/>
  <c r="D45" i="18" s="1"/>
  <c r="E43" i="18"/>
  <c r="D43" i="18" s="1"/>
  <c r="E42" i="18"/>
  <c r="D42" i="18" s="1"/>
  <c r="E41" i="18"/>
  <c r="D41" i="18" s="1"/>
  <c r="E39" i="18"/>
  <c r="D39" i="18" s="1"/>
  <c r="E38" i="18"/>
  <c r="D38" i="18" s="1"/>
  <c r="E37" i="18"/>
  <c r="D37" i="18" s="1"/>
  <c r="E36" i="18"/>
  <c r="E35" i="18"/>
  <c r="E34" i="18"/>
  <c r="D34" i="18" s="1"/>
  <c r="E46" i="14"/>
  <c r="E45" i="14"/>
  <c r="D45" i="14" s="1"/>
  <c r="E44" i="14"/>
  <c r="D44" i="14" s="1"/>
  <c r="E43" i="14"/>
  <c r="D43" i="14" s="1"/>
  <c r="E42" i="14"/>
  <c r="D42" i="14" s="1"/>
  <c r="E41" i="14"/>
  <c r="E39" i="14"/>
  <c r="D39" i="14" s="1"/>
  <c r="E38" i="14"/>
  <c r="D38" i="14" s="1"/>
  <c r="E37" i="14"/>
  <c r="D37" i="14" s="1"/>
  <c r="E36" i="14"/>
  <c r="D36" i="14" s="1"/>
  <c r="E35" i="14"/>
  <c r="E34" i="14"/>
  <c r="E46" i="17"/>
  <c r="E45" i="17"/>
  <c r="E44" i="17"/>
  <c r="D44" i="17" s="1"/>
  <c r="E43" i="17"/>
  <c r="E42" i="17"/>
  <c r="E41" i="17"/>
  <c r="D41" i="17" s="1"/>
  <c r="E39" i="17"/>
  <c r="E38" i="17"/>
  <c r="E37" i="17"/>
  <c r="E36" i="17"/>
  <c r="E35" i="17"/>
  <c r="E34" i="17"/>
  <c r="E46" i="16"/>
  <c r="E45" i="16"/>
  <c r="D45" i="16" s="1"/>
  <c r="E44" i="16"/>
  <c r="E43" i="16"/>
  <c r="E42" i="16"/>
  <c r="E41" i="16"/>
  <c r="D41" i="16" s="1"/>
  <c r="E39" i="16"/>
  <c r="E38" i="16"/>
  <c r="E37" i="16"/>
  <c r="E36" i="16"/>
  <c r="D36" i="16" s="1"/>
  <c r="E35" i="16"/>
  <c r="D35" i="16" s="1"/>
  <c r="E34" i="16"/>
  <c r="E46" i="15"/>
  <c r="E45" i="15"/>
  <c r="D45" i="15" s="1"/>
  <c r="E44" i="15"/>
  <c r="E43" i="15"/>
  <c r="E42" i="15"/>
  <c r="E41" i="15"/>
  <c r="E39" i="15"/>
  <c r="E38" i="15"/>
  <c r="E37" i="15"/>
  <c r="E36" i="15"/>
  <c r="D36" i="15" s="1"/>
  <c r="E35" i="15"/>
  <c r="D35" i="15" s="1"/>
  <c r="E34" i="15"/>
  <c r="E46" i="29"/>
  <c r="D46" i="29" s="1"/>
  <c r="E45" i="29"/>
  <c r="E44" i="29"/>
  <c r="E43" i="29"/>
  <c r="E42" i="29"/>
  <c r="E41" i="29"/>
  <c r="E39" i="29"/>
  <c r="E38" i="29"/>
  <c r="E37" i="29"/>
  <c r="D37" i="29" s="1"/>
  <c r="E36" i="29"/>
  <c r="D36" i="29" s="1"/>
  <c r="E35" i="29"/>
  <c r="E34" i="29"/>
  <c r="E46" i="28"/>
  <c r="E45" i="28"/>
  <c r="D45" i="28" s="1"/>
  <c r="E44" i="28"/>
  <c r="E43" i="28"/>
  <c r="D43" i="28" s="1"/>
  <c r="E42" i="28"/>
  <c r="D42" i="28" s="1"/>
  <c r="E41" i="28"/>
  <c r="D41" i="28" s="1"/>
  <c r="E39" i="28"/>
  <c r="E38" i="28"/>
  <c r="E37" i="28"/>
  <c r="D37" i="28" s="1"/>
  <c r="E36" i="28"/>
  <c r="D36" i="28" s="1"/>
  <c r="E35" i="28"/>
  <c r="D35" i="28" s="1"/>
  <c r="E34" i="28"/>
  <c r="E46" i="27"/>
  <c r="D46" i="27" s="1"/>
  <c r="E45" i="27"/>
  <c r="E44" i="27"/>
  <c r="E43" i="27"/>
  <c r="E42" i="27"/>
  <c r="E41" i="27"/>
  <c r="E39" i="27"/>
  <c r="E38" i="27"/>
  <c r="E37" i="27"/>
  <c r="D37" i="27" s="1"/>
  <c r="E36" i="27"/>
  <c r="D36" i="27" s="1"/>
  <c r="E35" i="27"/>
  <c r="D35" i="27" s="1"/>
  <c r="E34" i="27"/>
  <c r="E46" i="26"/>
  <c r="E45" i="26"/>
  <c r="E44" i="26"/>
  <c r="E43" i="26"/>
  <c r="E42" i="26"/>
  <c r="D42" i="26" s="1"/>
  <c r="E41" i="26"/>
  <c r="E39" i="26"/>
  <c r="E38" i="26"/>
  <c r="E37" i="26"/>
  <c r="D37" i="26" s="1"/>
  <c r="E36" i="26"/>
  <c r="E35" i="26"/>
  <c r="E34" i="26"/>
  <c r="E46" i="25"/>
  <c r="E45" i="25"/>
  <c r="E44" i="25"/>
  <c r="E43" i="25"/>
  <c r="E42" i="25"/>
  <c r="E41" i="25"/>
  <c r="E39" i="25"/>
  <c r="D39" i="25" s="1"/>
  <c r="E38" i="25"/>
  <c r="D38" i="25" s="1"/>
  <c r="E37" i="25"/>
  <c r="D37" i="25" s="1"/>
  <c r="E36" i="25"/>
  <c r="D36" i="25" s="1"/>
  <c r="E35" i="25"/>
  <c r="E34" i="25"/>
  <c r="E46" i="24"/>
  <c r="D46" i="24" s="1"/>
  <c r="E45" i="24"/>
  <c r="E44" i="24"/>
  <c r="E43" i="24"/>
  <c r="D43" i="24" s="1"/>
  <c r="E42" i="24"/>
  <c r="E41" i="24"/>
  <c r="E39" i="24"/>
  <c r="E38" i="24"/>
  <c r="E37" i="24"/>
  <c r="D37" i="24" s="1"/>
  <c r="E36" i="24"/>
  <c r="D36" i="24" s="1"/>
  <c r="E35" i="24"/>
  <c r="D35" i="24" s="1"/>
  <c r="E34" i="24"/>
  <c r="E46" i="30"/>
  <c r="D46" i="30" s="1"/>
  <c r="E45" i="30"/>
  <c r="E44" i="30"/>
  <c r="E43" i="30"/>
  <c r="E42" i="30"/>
  <c r="D42" i="30" s="1"/>
  <c r="E41" i="30"/>
  <c r="D41" i="30" s="1"/>
  <c r="E39" i="30"/>
  <c r="E38" i="30"/>
  <c r="E37" i="30"/>
  <c r="D37" i="30" s="1"/>
  <c r="E36" i="30"/>
  <c r="D36" i="30" s="1"/>
  <c r="E35" i="30"/>
  <c r="D35" i="30" s="1"/>
  <c r="E34" i="30"/>
  <c r="E46" i="13"/>
  <c r="E45" i="13"/>
  <c r="E44" i="13"/>
  <c r="E43" i="13"/>
  <c r="E42" i="13"/>
  <c r="E41" i="13"/>
  <c r="E39" i="13"/>
  <c r="E38" i="13"/>
  <c r="E37" i="13"/>
  <c r="D37" i="13" s="1"/>
  <c r="E36" i="13"/>
  <c r="D36" i="13" s="1"/>
  <c r="E35" i="13"/>
  <c r="D35" i="13" s="1"/>
  <c r="E34" i="13"/>
  <c r="E46" i="12"/>
  <c r="E45" i="12"/>
  <c r="E44" i="12"/>
  <c r="E43" i="12"/>
  <c r="E42" i="12"/>
  <c r="E41" i="12"/>
  <c r="E39" i="12"/>
  <c r="E38" i="12"/>
  <c r="E37" i="12"/>
  <c r="D37" i="12" s="1"/>
  <c r="E36" i="12"/>
  <c r="D36" i="12" s="1"/>
  <c r="E35" i="12"/>
  <c r="E34" i="12"/>
  <c r="E27" i="11"/>
  <c r="D27" i="11" s="1"/>
  <c r="E26" i="11"/>
  <c r="D26" i="11" s="1"/>
  <c r="E25" i="11"/>
  <c r="E24" i="11"/>
  <c r="D24" i="11" s="1"/>
  <c r="E23" i="11"/>
  <c r="D23" i="11" s="1"/>
  <c r="E22" i="11"/>
  <c r="D22" i="11" s="1"/>
  <c r="E20" i="11"/>
  <c r="E19" i="11"/>
  <c r="E18" i="11"/>
  <c r="D18" i="11" s="1"/>
  <c r="E27" i="6"/>
  <c r="D27" i="6" s="1"/>
  <c r="E26" i="6"/>
  <c r="D26" i="6" s="1"/>
  <c r="E25" i="6"/>
  <c r="D25" i="6" s="1"/>
  <c r="E24" i="6"/>
  <c r="D24" i="6" s="1"/>
  <c r="E23" i="6"/>
  <c r="D23" i="6" s="1"/>
  <c r="E22" i="6"/>
  <c r="D22" i="6" s="1"/>
  <c r="E20" i="6"/>
  <c r="D20" i="6" s="1"/>
  <c r="E19" i="6"/>
  <c r="D19" i="6" s="1"/>
  <c r="E18" i="6"/>
  <c r="D18" i="6" s="1"/>
  <c r="E27" i="5"/>
  <c r="D27" i="5" s="1"/>
  <c r="E26" i="5"/>
  <c r="D26" i="5" s="1"/>
  <c r="E25" i="5"/>
  <c r="D25" i="5" s="1"/>
  <c r="E24" i="5"/>
  <c r="D24" i="5" s="1"/>
  <c r="E23" i="5"/>
  <c r="D23" i="5" s="1"/>
  <c r="E22" i="5"/>
  <c r="D22" i="5" s="1"/>
  <c r="E20" i="5"/>
  <c r="D20" i="5" s="1"/>
  <c r="E19" i="5"/>
  <c r="D19" i="5" s="1"/>
  <c r="E18" i="5"/>
  <c r="D18" i="5" s="1"/>
  <c r="E27" i="4"/>
  <c r="D27" i="4" s="1"/>
  <c r="E26" i="4"/>
  <c r="D26" i="4" s="1"/>
  <c r="E25" i="4"/>
  <c r="E24" i="4"/>
  <c r="D24" i="4" s="1"/>
  <c r="E23" i="4"/>
  <c r="D23" i="4" s="1"/>
  <c r="E22" i="4"/>
  <c r="D22" i="4" s="1"/>
  <c r="E20" i="4"/>
  <c r="E19" i="4"/>
  <c r="D19" i="4" s="1"/>
  <c r="E18" i="4"/>
  <c r="D18" i="4" s="1"/>
  <c r="E27" i="23"/>
  <c r="E26" i="23"/>
  <c r="D26" i="23" s="1"/>
  <c r="E25" i="23"/>
  <c r="E24" i="23"/>
  <c r="D24" i="23" s="1"/>
  <c r="E23" i="23"/>
  <c r="D23" i="23" s="1"/>
  <c r="E22" i="23"/>
  <c r="D22" i="23" s="1"/>
  <c r="E20" i="23"/>
  <c r="D20" i="23" s="1"/>
  <c r="E19" i="23"/>
  <c r="D19" i="23" s="1"/>
  <c r="E18" i="23"/>
  <c r="D18" i="23" s="1"/>
  <c r="E27" i="22"/>
  <c r="E26" i="22"/>
  <c r="E25" i="22"/>
  <c r="D25" i="22" s="1"/>
  <c r="E24" i="22"/>
  <c r="E23" i="22"/>
  <c r="D23" i="22" s="1"/>
  <c r="E22" i="22"/>
  <c r="D22" i="22" s="1"/>
  <c r="E20" i="22"/>
  <c r="E19" i="22"/>
  <c r="D19" i="22" s="1"/>
  <c r="E18" i="22"/>
  <c r="D18" i="22" s="1"/>
  <c r="E27" i="21"/>
  <c r="E26" i="21"/>
  <c r="E25" i="21"/>
  <c r="E24" i="21"/>
  <c r="E23" i="21"/>
  <c r="E22" i="21"/>
  <c r="E20" i="21"/>
  <c r="E19" i="21"/>
  <c r="E18" i="21"/>
  <c r="E27" i="20"/>
  <c r="E26" i="20"/>
  <c r="D26" i="20" s="1"/>
  <c r="D25" i="20"/>
  <c r="E24" i="20"/>
  <c r="E23" i="20"/>
  <c r="D23" i="20" s="1"/>
  <c r="E22" i="20"/>
  <c r="D22" i="20" s="1"/>
  <c r="E20" i="20"/>
  <c r="D20" i="20" s="1"/>
  <c r="E19" i="20"/>
  <c r="D19" i="20" s="1"/>
  <c r="E18" i="20"/>
  <c r="D18" i="20" s="1"/>
  <c r="E27" i="19"/>
  <c r="E26" i="19"/>
  <c r="D26" i="19" s="1"/>
  <c r="E25" i="19"/>
  <c r="D25" i="19" s="1"/>
  <c r="E24" i="19"/>
  <c r="E23" i="19"/>
  <c r="D23" i="19" s="1"/>
  <c r="E22" i="19"/>
  <c r="D22" i="19" s="1"/>
  <c r="E20" i="19"/>
  <c r="E19" i="19"/>
  <c r="E18" i="19"/>
  <c r="D18" i="19" s="1"/>
  <c r="E27" i="18"/>
  <c r="D27" i="18" s="1"/>
  <c r="E24" i="18"/>
  <c r="D24" i="18" s="1"/>
  <c r="E23" i="18"/>
  <c r="D23" i="18" s="1"/>
  <c r="E22" i="18"/>
  <c r="D22" i="18" s="1"/>
  <c r="E20" i="18"/>
  <c r="E18" i="18"/>
  <c r="D18" i="18" s="1"/>
  <c r="E27" i="14"/>
  <c r="D27" i="14" s="1"/>
  <c r="E26" i="14"/>
  <c r="D26" i="14" s="1"/>
  <c r="E25" i="14"/>
  <c r="E24" i="14"/>
  <c r="E23" i="14"/>
  <c r="E22" i="14"/>
  <c r="E20" i="14"/>
  <c r="E19" i="14"/>
  <c r="E18" i="14"/>
  <c r="D18" i="14" s="1"/>
  <c r="E27" i="17"/>
  <c r="D27" i="17" s="1"/>
  <c r="E26" i="17"/>
  <c r="D26" i="17" s="1"/>
  <c r="E25" i="17"/>
  <c r="D25" i="17" s="1"/>
  <c r="E24" i="17"/>
  <c r="D24" i="17" s="1"/>
  <c r="E23" i="17"/>
  <c r="D23" i="17" s="1"/>
  <c r="E22" i="17"/>
  <c r="E20" i="17"/>
  <c r="E19" i="17"/>
  <c r="D19" i="17" s="1"/>
  <c r="E18" i="17"/>
  <c r="D18" i="17" s="1"/>
  <c r="E27" i="16"/>
  <c r="D27" i="16" s="1"/>
  <c r="E26" i="16"/>
  <c r="D26" i="16" s="1"/>
  <c r="E25" i="16"/>
  <c r="D25" i="16" s="1"/>
  <c r="E24" i="16"/>
  <c r="D24" i="16" s="1"/>
  <c r="E23" i="16"/>
  <c r="D23" i="16" s="1"/>
  <c r="E22" i="16"/>
  <c r="D22" i="16" s="1"/>
  <c r="E20" i="16"/>
  <c r="E19" i="16"/>
  <c r="D19" i="16" s="1"/>
  <c r="E18" i="16"/>
  <c r="D18" i="16" s="1"/>
  <c r="E27" i="15"/>
  <c r="D27" i="15" s="1"/>
  <c r="E26" i="15"/>
  <c r="E25" i="15"/>
  <c r="E24" i="15"/>
  <c r="D24" i="15" s="1"/>
  <c r="E23" i="15"/>
  <c r="D23" i="15" s="1"/>
  <c r="E22" i="15"/>
  <c r="E20" i="15"/>
  <c r="D20" i="15" s="1"/>
  <c r="E19" i="15"/>
  <c r="E18" i="15"/>
  <c r="E27" i="29"/>
  <c r="D27" i="29" s="1"/>
  <c r="E26" i="29"/>
  <c r="D26" i="29" s="1"/>
  <c r="E25" i="29"/>
  <c r="D25" i="29" s="1"/>
  <c r="E24" i="29"/>
  <c r="D24" i="29" s="1"/>
  <c r="E23" i="29"/>
  <c r="D23" i="29" s="1"/>
  <c r="E22" i="29"/>
  <c r="D22" i="29" s="1"/>
  <c r="E20" i="29"/>
  <c r="D20" i="29" s="1"/>
  <c r="E19" i="29"/>
  <c r="D19" i="29" s="1"/>
  <c r="E18" i="29"/>
  <c r="D18" i="29" s="1"/>
  <c r="E27" i="28"/>
  <c r="E26" i="28"/>
  <c r="E25" i="28"/>
  <c r="E24" i="28"/>
  <c r="D24" i="28" s="1"/>
  <c r="E23" i="28"/>
  <c r="D23" i="28" s="1"/>
  <c r="E22" i="28"/>
  <c r="E20" i="28"/>
  <c r="E19" i="28"/>
  <c r="E18" i="28"/>
  <c r="D18" i="28" s="1"/>
  <c r="E27" i="27"/>
  <c r="D27" i="27" s="1"/>
  <c r="E26" i="27"/>
  <c r="D26" i="27" s="1"/>
  <c r="E25" i="27"/>
  <c r="D25" i="27" s="1"/>
  <c r="E24" i="27"/>
  <c r="D24" i="27" s="1"/>
  <c r="E23" i="27"/>
  <c r="D23" i="27" s="1"/>
  <c r="E22" i="27"/>
  <c r="D22" i="27" s="1"/>
  <c r="E20" i="27"/>
  <c r="E19" i="27"/>
  <c r="D19" i="27" s="1"/>
  <c r="E18" i="27"/>
  <c r="D18" i="27" s="1"/>
  <c r="E27" i="26"/>
  <c r="D27" i="26" s="1"/>
  <c r="E26" i="26"/>
  <c r="D26" i="26" s="1"/>
  <c r="E25" i="26"/>
  <c r="E24" i="26"/>
  <c r="E23" i="26"/>
  <c r="E22" i="26"/>
  <c r="E20" i="26"/>
  <c r="E19" i="26"/>
  <c r="E18" i="26"/>
  <c r="E27" i="25"/>
  <c r="D27" i="25" s="1"/>
  <c r="E26" i="25"/>
  <c r="D26" i="25" s="1"/>
  <c r="E25" i="25"/>
  <c r="E24" i="25"/>
  <c r="D24" i="25" s="1"/>
  <c r="E23" i="25"/>
  <c r="D23" i="25" s="1"/>
  <c r="E22" i="25"/>
  <c r="D22" i="25" s="1"/>
  <c r="E20" i="25"/>
  <c r="D20" i="25" s="1"/>
  <c r="E19" i="25"/>
  <c r="D19" i="25" s="1"/>
  <c r="E18" i="25"/>
  <c r="D18" i="25" s="1"/>
  <c r="E27" i="24"/>
  <c r="D27" i="24" s="1"/>
  <c r="E26" i="24"/>
  <c r="D26" i="24" s="1"/>
  <c r="E25" i="24"/>
  <c r="D25" i="24" s="1"/>
  <c r="E24" i="24"/>
  <c r="E23" i="24"/>
  <c r="D23" i="24" s="1"/>
  <c r="E22" i="24"/>
  <c r="D22" i="24" s="1"/>
  <c r="E20" i="24"/>
  <c r="E19" i="24"/>
  <c r="E18" i="24"/>
  <c r="E27" i="30"/>
  <c r="D27" i="30" s="1"/>
  <c r="E26" i="30"/>
  <c r="D26" i="30" s="1"/>
  <c r="E25" i="30"/>
  <c r="D25" i="30" s="1"/>
  <c r="E24" i="30"/>
  <c r="E23" i="30"/>
  <c r="D23" i="30" s="1"/>
  <c r="E22" i="30"/>
  <c r="D22" i="30" s="1"/>
  <c r="E20" i="30"/>
  <c r="E19" i="30"/>
  <c r="D19" i="30" s="1"/>
  <c r="E18" i="30"/>
  <c r="D18" i="30" s="1"/>
  <c r="E27" i="13"/>
  <c r="D27" i="13" s="1"/>
  <c r="E26" i="13"/>
  <c r="D26" i="13" s="1"/>
  <c r="E25" i="13"/>
  <c r="D25" i="13" s="1"/>
  <c r="E24" i="13"/>
  <c r="D24" i="13" s="1"/>
  <c r="E23" i="13"/>
  <c r="D23" i="13" s="1"/>
  <c r="E22" i="13"/>
  <c r="D22" i="13" s="1"/>
  <c r="E20" i="13"/>
  <c r="E19" i="13"/>
  <c r="D19" i="13" s="1"/>
  <c r="E18" i="13"/>
  <c r="D18" i="13" s="1"/>
  <c r="E27" i="12"/>
  <c r="D27" i="12" s="1"/>
  <c r="E26" i="12"/>
  <c r="D26" i="12" s="1"/>
  <c r="E25" i="12"/>
  <c r="E24" i="12"/>
  <c r="E23" i="12"/>
  <c r="D23" i="12" s="1"/>
  <c r="E22" i="12"/>
  <c r="D22" i="12" s="1"/>
  <c r="E20" i="12"/>
  <c r="E19" i="12"/>
  <c r="E18" i="12"/>
  <c r="D18" i="12" s="1"/>
  <c r="E12" i="11"/>
  <c r="D12" i="11" s="1"/>
  <c r="E12" i="6"/>
  <c r="D12" i="6" s="1"/>
  <c r="E12" i="5"/>
  <c r="D12" i="5" s="1"/>
  <c r="E12" i="4"/>
  <c r="D12" i="4" s="1"/>
  <c r="E12" i="23"/>
  <c r="D12" i="23" s="1"/>
  <c r="E12" i="22"/>
  <c r="D12" i="22" s="1"/>
  <c r="E12" i="21"/>
  <c r="D12" i="20"/>
  <c r="E12" i="19"/>
  <c r="D12" i="19" s="1"/>
  <c r="E12" i="18"/>
  <c r="D12" i="18" s="1"/>
  <c r="E12" i="14"/>
  <c r="E12" i="17"/>
  <c r="D12" i="17" s="1"/>
  <c r="E12" i="16"/>
  <c r="D12" i="16" s="1"/>
  <c r="E12" i="15"/>
  <c r="D12" i="15" s="1"/>
  <c r="E12" i="29"/>
  <c r="D12" i="29" s="1"/>
  <c r="E12" i="28"/>
  <c r="E12" i="27"/>
  <c r="D12" i="27" s="1"/>
  <c r="E12" i="26"/>
  <c r="D12" i="26" s="1"/>
  <c r="E12" i="25"/>
  <c r="D12" i="25" s="1"/>
  <c r="E12" i="24"/>
  <c r="D12" i="24" s="1"/>
  <c r="E12" i="30"/>
  <c r="D12" i="30" s="1"/>
  <c r="E12" i="13"/>
  <c r="D12" i="13" s="1"/>
  <c r="E12" i="12"/>
  <c r="D12" i="12" s="1"/>
  <c r="I29" i="11"/>
  <c r="I29" i="6"/>
  <c r="I29" i="5"/>
  <c r="I29" i="4"/>
  <c r="I29" i="23"/>
  <c r="I29" i="22"/>
  <c r="I29" i="21"/>
  <c r="I29" i="20"/>
  <c r="I29" i="19"/>
  <c r="I29" i="18"/>
  <c r="I29" i="14"/>
  <c r="I29" i="17"/>
  <c r="I29" i="16"/>
  <c r="I29" i="15"/>
  <c r="I29" i="29"/>
  <c r="I29" i="28"/>
  <c r="I29" i="27"/>
  <c r="I29" i="26"/>
  <c r="I29" i="25"/>
  <c r="I29" i="30"/>
  <c r="I29" i="13"/>
  <c r="I29" i="12"/>
  <c r="I28" i="11"/>
  <c r="I28" i="6"/>
  <c r="I28" i="5"/>
  <c r="I28" i="4"/>
  <c r="I28" i="23"/>
  <c r="I28" i="22"/>
  <c r="I28" i="21"/>
  <c r="I28" i="20"/>
  <c r="I28" i="19"/>
  <c r="I28" i="18"/>
  <c r="I28" i="14"/>
  <c r="I28" i="17"/>
  <c r="I28" i="16"/>
  <c r="I28" i="15"/>
  <c r="I28" i="29"/>
  <c r="I28" i="28"/>
  <c r="I28" i="27"/>
  <c r="I28" i="26"/>
  <c r="I28" i="25"/>
  <c r="I28" i="24"/>
  <c r="I28" i="30"/>
  <c r="I28" i="13"/>
  <c r="I28" i="12"/>
  <c r="I14" i="11"/>
  <c r="I14" i="6"/>
  <c r="I14" i="5"/>
  <c r="I14" i="23"/>
  <c r="I14" i="20"/>
  <c r="I14" i="14"/>
  <c r="I14" i="16"/>
  <c r="I14" i="27"/>
  <c r="I14" i="26"/>
  <c r="I14" i="24"/>
  <c r="I14" i="30"/>
  <c r="I14" i="13"/>
  <c r="I14" i="12"/>
  <c r="I8" i="11"/>
  <c r="I8" i="19"/>
  <c r="I8" i="29"/>
  <c r="I8" i="27"/>
  <c r="D25" i="11" l="1"/>
  <c r="D19" i="12"/>
  <c r="E21" i="13"/>
  <c r="D21" i="13" s="1"/>
  <c r="E40" i="13"/>
  <c r="D13" i="15"/>
  <c r="D10" i="15"/>
  <c r="E21" i="26"/>
  <c r="E21" i="14"/>
  <c r="D21" i="14" s="1"/>
  <c r="D11" i="18"/>
  <c r="D44" i="12"/>
  <c r="D43" i="30"/>
  <c r="D12" i="28"/>
  <c r="D11" i="28"/>
  <c r="D44" i="16"/>
  <c r="E21" i="16"/>
  <c r="D21" i="16" s="1"/>
  <c r="D18" i="24"/>
  <c r="D11" i="24"/>
  <c r="D23" i="26"/>
  <c r="D22" i="14"/>
  <c r="D23" i="14"/>
  <c r="D12" i="14"/>
  <c r="D11" i="14"/>
  <c r="D44" i="25"/>
  <c r="D44" i="27"/>
  <c r="D42" i="15"/>
  <c r="D44" i="20"/>
  <c r="D44" i="23"/>
  <c r="D44" i="4"/>
  <c r="D36" i="4"/>
  <c r="D19" i="11"/>
  <c r="D25" i="12"/>
  <c r="D44" i="30"/>
  <c r="D26" i="28"/>
  <c r="I14" i="28"/>
  <c r="D22" i="28"/>
  <c r="D44" i="29"/>
  <c r="D44" i="13"/>
  <c r="D25" i="15"/>
  <c r="D18" i="15"/>
  <c r="D44" i="24"/>
  <c r="D16" i="24"/>
  <c r="D36" i="26"/>
  <c r="D18" i="26"/>
  <c r="D44" i="26"/>
  <c r="D17" i="26"/>
  <c r="D19" i="26"/>
  <c r="D11" i="26"/>
  <c r="D13" i="16"/>
  <c r="D10" i="16"/>
  <c r="D10" i="19"/>
  <c r="E21" i="5"/>
  <c r="D21" i="5" s="1"/>
  <c r="E21" i="30"/>
  <c r="D21" i="30" s="1"/>
  <c r="H14" i="13"/>
  <c r="D17" i="18"/>
  <c r="D16" i="19"/>
  <c r="D45" i="20"/>
  <c r="H14" i="20"/>
  <c r="E14" i="20" s="1"/>
  <c r="D14" i="20" s="1"/>
  <c r="D35" i="22"/>
  <c r="E21" i="23"/>
  <c r="D21" i="23" s="1"/>
  <c r="D25" i="4"/>
  <c r="D11" i="11"/>
  <c r="E21" i="27"/>
  <c r="D21" i="27" s="1"/>
  <c r="D10" i="28"/>
  <c r="D22" i="15"/>
  <c r="D19" i="15"/>
  <c r="D46" i="25"/>
  <c r="D25" i="26"/>
  <c r="D22" i="17"/>
  <c r="D35" i="14"/>
  <c r="D41" i="14"/>
  <c r="D25" i="14"/>
  <c r="D45" i="17"/>
  <c r="D40" i="19"/>
  <c r="D45" i="22"/>
  <c r="D45" i="23"/>
  <c r="D35" i="6"/>
  <c r="D45" i="6"/>
  <c r="D35" i="12"/>
  <c r="D13" i="11"/>
  <c r="D10" i="11"/>
  <c r="D13" i="12"/>
  <c r="D10" i="12"/>
  <c r="D19" i="24"/>
  <c r="D13" i="24"/>
  <c r="D13" i="25"/>
  <c r="D10" i="25"/>
  <c r="D41" i="26"/>
  <c r="D35" i="26"/>
  <c r="D21" i="26"/>
  <c r="D22" i="26"/>
  <c r="D13" i="26"/>
  <c r="D10" i="26"/>
  <c r="D19" i="28"/>
  <c r="D46" i="13"/>
  <c r="D41" i="15"/>
  <c r="D26" i="15"/>
  <c r="D19" i="14"/>
  <c r="E21" i="22"/>
  <c r="D21" i="22" s="1"/>
  <c r="E21" i="4"/>
  <c r="H14" i="4"/>
  <c r="E14" i="4" s="1"/>
  <c r="D14" i="4" s="1"/>
  <c r="E21" i="11"/>
  <c r="D21" i="11" s="1"/>
  <c r="E21" i="24"/>
  <c r="D21" i="24" s="1"/>
  <c r="H14" i="16"/>
  <c r="E14" i="16" s="1"/>
  <c r="D14" i="16" s="1"/>
  <c r="E21" i="17"/>
  <c r="H14" i="17"/>
  <c r="E14" i="17" s="1"/>
  <c r="D14" i="17" s="1"/>
  <c r="D35" i="25"/>
  <c r="D43" i="26"/>
  <c r="D8" i="27"/>
  <c r="D35" i="18"/>
  <c r="D35" i="19"/>
  <c r="D35" i="23"/>
  <c r="D16" i="23"/>
  <c r="E8" i="19"/>
  <c r="D8" i="19" s="1"/>
  <c r="E8" i="15"/>
  <c r="D8" i="15" s="1"/>
  <c r="F6" i="16"/>
  <c r="E8" i="16"/>
  <c r="D8" i="16" s="1"/>
  <c r="E8" i="12"/>
  <c r="D8" i="12" s="1"/>
  <c r="F6" i="12"/>
  <c r="E8" i="11"/>
  <c r="D8" i="11" s="1"/>
  <c r="G14" i="11"/>
  <c r="E14" i="11" s="1"/>
  <c r="D14" i="11" s="1"/>
  <c r="E8" i="6"/>
  <c r="D8" i="6" s="1"/>
  <c r="E21" i="6"/>
  <c r="D21" i="6" s="1"/>
  <c r="E14" i="6"/>
  <c r="D14" i="6" s="1"/>
  <c r="E8" i="5"/>
  <c r="D8" i="5" s="1"/>
  <c r="E8" i="4"/>
  <c r="D8" i="4" s="1"/>
  <c r="D21" i="4"/>
  <c r="E8" i="23"/>
  <c r="D8" i="23" s="1"/>
  <c r="D25" i="23"/>
  <c r="E8" i="22"/>
  <c r="D8" i="22" s="1"/>
  <c r="D16" i="22"/>
  <c r="E8" i="21"/>
  <c r="D8" i="21" s="1"/>
  <c r="D16" i="21"/>
  <c r="E21" i="21"/>
  <c r="D21" i="21" s="1"/>
  <c r="D25" i="21"/>
  <c r="E8" i="20"/>
  <c r="D13" i="19"/>
  <c r="D19" i="19"/>
  <c r="E14" i="19"/>
  <c r="D14" i="19" s="1"/>
  <c r="E21" i="19"/>
  <c r="D21" i="19" s="1"/>
  <c r="I8" i="18"/>
  <c r="D10" i="14"/>
  <c r="D13" i="14"/>
  <c r="E8" i="14"/>
  <c r="D8" i="14" s="1"/>
  <c r="H14" i="14"/>
  <c r="E14" i="14" s="1"/>
  <c r="D14" i="14" s="1"/>
  <c r="E8" i="17"/>
  <c r="D35" i="17"/>
  <c r="D16" i="15"/>
  <c r="E14" i="15"/>
  <c r="D44" i="15"/>
  <c r="D43" i="15"/>
  <c r="E21" i="29"/>
  <c r="D21" i="29" s="1"/>
  <c r="D35" i="29"/>
  <c r="E8" i="28"/>
  <c r="D13" i="28"/>
  <c r="D25" i="28"/>
  <c r="D44" i="28"/>
  <c r="E14" i="27"/>
  <c r="D14" i="27" s="1"/>
  <c r="E8" i="26"/>
  <c r="D8" i="26" s="1"/>
  <c r="D16" i="26"/>
  <c r="H14" i="26"/>
  <c r="E14" i="26" s="1"/>
  <c r="D14" i="26" s="1"/>
  <c r="E8" i="25"/>
  <c r="D8" i="25" s="1"/>
  <c r="D16" i="25"/>
  <c r="E21" i="25"/>
  <c r="D21" i="25" s="1"/>
  <c r="D25" i="25"/>
  <c r="D43" i="25"/>
  <c r="D10" i="24"/>
  <c r="E8" i="24"/>
  <c r="E8" i="30"/>
  <c r="D8" i="30" s="1"/>
  <c r="F6" i="30"/>
  <c r="E14" i="25"/>
  <c r="D14" i="25" s="1"/>
  <c r="E14" i="21"/>
  <c r="D14" i="21" s="1"/>
  <c r="E14" i="5"/>
  <c r="D14" i="5" s="1"/>
  <c r="E21" i="18"/>
  <c r="D21" i="18" s="1"/>
  <c r="E14" i="29"/>
  <c r="D14" i="29" s="1"/>
  <c r="E21" i="15"/>
  <c r="E21" i="12"/>
  <c r="D21" i="12" s="1"/>
  <c r="F6" i="29"/>
  <c r="F14" i="13"/>
  <c r="E14" i="13" s="1"/>
  <c r="D14" i="13" s="1"/>
  <c r="F14" i="22"/>
  <c r="E14" i="22" s="1"/>
  <c r="D14" i="22" s="1"/>
  <c r="E14" i="12"/>
  <c r="D14" i="12" s="1"/>
  <c r="E14" i="24"/>
  <c r="D14" i="24" s="1"/>
  <c r="E14" i="28"/>
  <c r="E21" i="28"/>
  <c r="D21" i="28" s="1"/>
  <c r="D21" i="20"/>
  <c r="E14" i="30"/>
  <c r="D14" i="30" s="1"/>
  <c r="E14" i="23"/>
  <c r="D14" i="23" s="1"/>
  <c r="F6" i="28"/>
  <c r="F6" i="20"/>
  <c r="F6" i="15"/>
  <c r="F6" i="22"/>
  <c r="I8" i="13"/>
  <c r="I8" i="24"/>
  <c r="I8" i="17"/>
  <c r="I8" i="4"/>
  <c r="I8" i="28"/>
  <c r="I8" i="20"/>
  <c r="E40" i="30"/>
  <c r="E40" i="16"/>
  <c r="E40" i="23"/>
  <c r="E40" i="28"/>
  <c r="E40" i="12"/>
  <c r="E40" i="29"/>
  <c r="E40" i="21"/>
  <c r="D40" i="21" s="1"/>
  <c r="E6" i="3"/>
  <c r="D6" i="3" s="1"/>
  <c r="F6" i="3"/>
  <c r="I6" i="3"/>
  <c r="D8" i="3"/>
  <c r="E8" i="3"/>
  <c r="F8" i="3"/>
  <c r="G8" i="3"/>
  <c r="H8" i="3"/>
  <c r="I8" i="3"/>
  <c r="J8" i="3"/>
  <c r="K8" i="3"/>
  <c r="L8" i="3"/>
  <c r="D10" i="3"/>
  <c r="E10" i="3"/>
  <c r="I10" i="3"/>
  <c r="D11" i="3"/>
  <c r="E11" i="3"/>
  <c r="I11" i="3"/>
  <c r="D12" i="3"/>
  <c r="E12" i="3"/>
  <c r="I12" i="3"/>
  <c r="D13" i="3"/>
  <c r="E13" i="3"/>
  <c r="I13" i="3"/>
  <c r="D14" i="3"/>
  <c r="I14" i="3"/>
  <c r="J14" i="3"/>
  <c r="K14" i="3"/>
  <c r="L14" i="3"/>
  <c r="D16" i="3"/>
  <c r="E16" i="3"/>
  <c r="I16" i="3"/>
  <c r="D18" i="3"/>
  <c r="E18" i="3"/>
  <c r="I18" i="3"/>
  <c r="D19" i="3"/>
  <c r="E19" i="3"/>
  <c r="I19" i="3"/>
  <c r="D25" i="3"/>
  <c r="E25" i="3"/>
  <c r="I25" i="3"/>
  <c r="D28" i="3"/>
  <c r="E28" i="3"/>
  <c r="I28" i="3"/>
  <c r="D29" i="3"/>
  <c r="E29" i="3"/>
  <c r="I29" i="3"/>
  <c r="L31" i="3"/>
  <c r="L33" i="3"/>
  <c r="D38" i="3"/>
  <c r="E38" i="3"/>
  <c r="I38" i="3"/>
  <c r="K6" i="13"/>
  <c r="E28" i="13"/>
  <c r="D28" i="13" s="1"/>
  <c r="E29" i="13"/>
  <c r="D29" i="13" s="1"/>
  <c r="F33" i="13"/>
  <c r="F31" i="13" s="1"/>
  <c r="G33" i="13"/>
  <c r="H33" i="13"/>
  <c r="H31" i="13" s="1"/>
  <c r="J33" i="13"/>
  <c r="I33" i="13" s="1"/>
  <c r="K33" i="13"/>
  <c r="L33" i="13"/>
  <c r="G40" i="13"/>
  <c r="J40" i="13"/>
  <c r="K40" i="13"/>
  <c r="L40" i="13"/>
  <c r="L31" i="13" s="1"/>
  <c r="L6" i="13" s="1"/>
  <c r="K6" i="30"/>
  <c r="J14" i="30"/>
  <c r="K14" i="30"/>
  <c r="L14" i="30"/>
  <c r="E28" i="30"/>
  <c r="D28" i="30" s="1"/>
  <c r="E29" i="30"/>
  <c r="D29" i="30" s="1"/>
  <c r="H31" i="30"/>
  <c r="H6" i="30" s="1"/>
  <c r="F33" i="30"/>
  <c r="G33" i="30"/>
  <c r="H33" i="30"/>
  <c r="J33" i="30"/>
  <c r="K33" i="30"/>
  <c r="L33" i="30"/>
  <c r="J40" i="30"/>
  <c r="K40" i="30"/>
  <c r="L40" i="30"/>
  <c r="L31" i="30" s="1"/>
  <c r="L6" i="30" s="1"/>
  <c r="E28" i="24"/>
  <c r="D28" i="24" s="1"/>
  <c r="E29" i="24"/>
  <c r="F33" i="24"/>
  <c r="F31" i="24" s="1"/>
  <c r="F6" i="24" s="1"/>
  <c r="G33" i="24"/>
  <c r="H33" i="24"/>
  <c r="H31" i="24" s="1"/>
  <c r="J33" i="24"/>
  <c r="K33" i="24"/>
  <c r="L33" i="24"/>
  <c r="G40" i="24"/>
  <c r="J40" i="24"/>
  <c r="J31" i="24" s="1"/>
  <c r="J6" i="24" s="1"/>
  <c r="K40" i="24"/>
  <c r="K31" i="24" s="1"/>
  <c r="K6" i="24" s="1"/>
  <c r="L40" i="24"/>
  <c r="L31" i="24" s="1"/>
  <c r="L6" i="24" s="1"/>
  <c r="K6" i="25"/>
  <c r="E28" i="25"/>
  <c r="D28" i="25" s="1"/>
  <c r="E29" i="25"/>
  <c r="D29" i="25" s="1"/>
  <c r="F33" i="25"/>
  <c r="G33" i="25"/>
  <c r="H33" i="25"/>
  <c r="H31" i="25" s="1"/>
  <c r="J33" i="25"/>
  <c r="I33" i="25" s="1"/>
  <c r="K33" i="25"/>
  <c r="L33" i="25"/>
  <c r="G40" i="25"/>
  <c r="J40" i="25"/>
  <c r="K40" i="25"/>
  <c r="L40" i="25"/>
  <c r="L31" i="25" s="1"/>
  <c r="L6" i="25" s="1"/>
  <c r="E28" i="26"/>
  <c r="D28" i="26" s="1"/>
  <c r="E29" i="26"/>
  <c r="D29" i="26" s="1"/>
  <c r="F33" i="26"/>
  <c r="G33" i="26"/>
  <c r="J33" i="26"/>
  <c r="K33" i="26"/>
  <c r="L33" i="26"/>
  <c r="G40" i="26"/>
  <c r="J40" i="26"/>
  <c r="K40" i="26"/>
  <c r="K31" i="26" s="1"/>
  <c r="K6" i="26" s="1"/>
  <c r="L40" i="26"/>
  <c r="L31" i="26" s="1"/>
  <c r="L6" i="26" s="1"/>
  <c r="J14" i="27"/>
  <c r="K14" i="27"/>
  <c r="L14" i="27"/>
  <c r="E28" i="27"/>
  <c r="D28" i="27" s="1"/>
  <c r="E29" i="27"/>
  <c r="D29" i="27" s="1"/>
  <c r="F33" i="27"/>
  <c r="F31" i="27" s="1"/>
  <c r="F6" i="27" s="1"/>
  <c r="G33" i="27"/>
  <c r="H33" i="27"/>
  <c r="H31" i="27" s="1"/>
  <c r="J33" i="27"/>
  <c r="K33" i="27"/>
  <c r="L33" i="27"/>
  <c r="J40" i="27"/>
  <c r="K40" i="27"/>
  <c r="L40" i="27"/>
  <c r="L31" i="27" s="1"/>
  <c r="K6" i="28"/>
  <c r="L6" i="28"/>
  <c r="E28" i="28"/>
  <c r="D28" i="28" s="1"/>
  <c r="D29" i="28"/>
  <c r="F33" i="28"/>
  <c r="G33" i="28"/>
  <c r="H33" i="28"/>
  <c r="H31" i="28" s="1"/>
  <c r="H6" i="28" s="1"/>
  <c r="J33" i="28"/>
  <c r="I33" i="28" s="1"/>
  <c r="K33" i="28"/>
  <c r="L33" i="28"/>
  <c r="G40" i="28"/>
  <c r="J40" i="28"/>
  <c r="K40" i="28"/>
  <c r="L40" i="28"/>
  <c r="L31" i="28" s="1"/>
  <c r="E28" i="29"/>
  <c r="D28" i="29" s="1"/>
  <c r="E29" i="29"/>
  <c r="D29" i="29" s="1"/>
  <c r="F33" i="29"/>
  <c r="G33" i="29"/>
  <c r="H33" i="29"/>
  <c r="H31" i="29" s="1"/>
  <c r="J33" i="29"/>
  <c r="K33" i="29"/>
  <c r="L33" i="29"/>
  <c r="G40" i="29"/>
  <c r="J40" i="29"/>
  <c r="K40" i="29"/>
  <c r="K31" i="29" s="1"/>
  <c r="K6" i="29" s="1"/>
  <c r="L40" i="29"/>
  <c r="I21" i="15"/>
  <c r="I14" i="15" s="1"/>
  <c r="E28" i="15"/>
  <c r="D28" i="15" s="1"/>
  <c r="E29" i="15"/>
  <c r="D29" i="15" s="1"/>
  <c r="F33" i="15"/>
  <c r="G33" i="15"/>
  <c r="H33" i="15"/>
  <c r="H31" i="15" s="1"/>
  <c r="J33" i="15"/>
  <c r="K33" i="15"/>
  <c r="L33" i="15"/>
  <c r="L31" i="15" s="1"/>
  <c r="L6" i="15" s="1"/>
  <c r="G40" i="15"/>
  <c r="J40" i="15"/>
  <c r="K40" i="15"/>
  <c r="K14" i="16"/>
  <c r="L14" i="16"/>
  <c r="E28" i="16"/>
  <c r="D28" i="16" s="1"/>
  <c r="E29" i="16"/>
  <c r="D29" i="16" s="1"/>
  <c r="F33" i="16"/>
  <c r="H33" i="16"/>
  <c r="H31" i="16" s="1"/>
  <c r="J33" i="16"/>
  <c r="K33" i="16"/>
  <c r="L33" i="16"/>
  <c r="G40" i="16"/>
  <c r="J40" i="16"/>
  <c r="K40" i="16"/>
  <c r="L40" i="16"/>
  <c r="J21" i="17"/>
  <c r="I21" i="17" s="1"/>
  <c r="E28" i="17"/>
  <c r="D28" i="17" s="1"/>
  <c r="E29" i="17"/>
  <c r="D29" i="17" s="1"/>
  <c r="F33" i="17"/>
  <c r="F31" i="17" s="1"/>
  <c r="F6" i="17" s="1"/>
  <c r="G33" i="17"/>
  <c r="H33" i="17"/>
  <c r="H31" i="17" s="1"/>
  <c r="J33" i="17"/>
  <c r="I33" i="17" s="1"/>
  <c r="K33" i="17"/>
  <c r="L33" i="17"/>
  <c r="G40" i="17"/>
  <c r="J40" i="17"/>
  <c r="K40" i="17"/>
  <c r="L40" i="17"/>
  <c r="L31" i="17" s="1"/>
  <c r="L6" i="17" s="1"/>
  <c r="E28" i="14"/>
  <c r="D28" i="14" s="1"/>
  <c r="E29" i="14"/>
  <c r="D29" i="14" s="1"/>
  <c r="F33" i="14"/>
  <c r="F31" i="14" s="1"/>
  <c r="F6" i="14" s="1"/>
  <c r="G33" i="14"/>
  <c r="H33" i="14"/>
  <c r="H31" i="14" s="1"/>
  <c r="J33" i="14"/>
  <c r="I33" i="14" s="1"/>
  <c r="K33" i="14"/>
  <c r="L33" i="14"/>
  <c r="G40" i="14"/>
  <c r="J40" i="14"/>
  <c r="K40" i="14"/>
  <c r="K31" i="14" s="1"/>
  <c r="K6" i="14" s="1"/>
  <c r="L40" i="14"/>
  <c r="L31" i="14" s="1"/>
  <c r="L6" i="14" s="1"/>
  <c r="E13" i="18"/>
  <c r="D13" i="18" s="1"/>
  <c r="J14" i="18"/>
  <c r="K14" i="18"/>
  <c r="L14" i="18"/>
  <c r="E19" i="18"/>
  <c r="I19" i="18"/>
  <c r="E25" i="18"/>
  <c r="D25" i="18" s="1"/>
  <c r="E26" i="18"/>
  <c r="D26" i="18" s="1"/>
  <c r="E28" i="18"/>
  <c r="D28" i="18" s="1"/>
  <c r="E29" i="18"/>
  <c r="D29" i="18" s="1"/>
  <c r="J33" i="18"/>
  <c r="K33" i="18"/>
  <c r="L33" i="18"/>
  <c r="G40" i="18"/>
  <c r="J40" i="18"/>
  <c r="K40" i="18"/>
  <c r="L40" i="18"/>
  <c r="E46" i="18"/>
  <c r="D46" i="18" s="1"/>
  <c r="E28" i="19"/>
  <c r="D28" i="19" s="1"/>
  <c r="E29" i="19"/>
  <c r="D29" i="19" s="1"/>
  <c r="F33" i="19"/>
  <c r="F31" i="19" s="1"/>
  <c r="F6" i="19" s="1"/>
  <c r="G33" i="19"/>
  <c r="H33" i="19"/>
  <c r="H31" i="19" s="1"/>
  <c r="J33" i="19"/>
  <c r="K33" i="19"/>
  <c r="L33" i="19"/>
  <c r="G40" i="19"/>
  <c r="J40" i="19"/>
  <c r="I40" i="19" s="1"/>
  <c r="K40" i="19"/>
  <c r="L40" i="19"/>
  <c r="J6" i="20"/>
  <c r="K6" i="20"/>
  <c r="J14" i="20"/>
  <c r="K14" i="20"/>
  <c r="L14" i="20"/>
  <c r="E28" i="20"/>
  <c r="D28" i="20" s="1"/>
  <c r="E29" i="20"/>
  <c r="D29" i="20" s="1"/>
  <c r="F33" i="20"/>
  <c r="F31" i="20" s="1"/>
  <c r="H33" i="20"/>
  <c r="J33" i="20"/>
  <c r="K33" i="20"/>
  <c r="L33" i="20"/>
  <c r="G40" i="20"/>
  <c r="J40" i="20"/>
  <c r="K40" i="20"/>
  <c r="L40" i="20"/>
  <c r="E28" i="21"/>
  <c r="D28" i="21" s="1"/>
  <c r="E29" i="21"/>
  <c r="D29" i="21" s="1"/>
  <c r="E30" i="21"/>
  <c r="H31" i="21"/>
  <c r="F31" i="21"/>
  <c r="F6" i="21" s="1"/>
  <c r="G33" i="21"/>
  <c r="H33" i="21"/>
  <c r="L33" i="21"/>
  <c r="J40" i="21"/>
  <c r="K40" i="21"/>
  <c r="L40" i="21"/>
  <c r="J6" i="22"/>
  <c r="K6" i="22"/>
  <c r="E28" i="22"/>
  <c r="D28" i="22" s="1"/>
  <c r="E29" i="22"/>
  <c r="D29" i="22" s="1"/>
  <c r="H31" i="22"/>
  <c r="F33" i="22"/>
  <c r="G33" i="22"/>
  <c r="H33" i="22"/>
  <c r="J33" i="22"/>
  <c r="K33" i="22"/>
  <c r="L33" i="22"/>
  <c r="G40" i="22"/>
  <c r="J40" i="22"/>
  <c r="K40" i="22"/>
  <c r="L40" i="22"/>
  <c r="I40" i="22" s="1"/>
  <c r="D40" i="22" s="1"/>
  <c r="K6" i="23"/>
  <c r="J14" i="23"/>
  <c r="K14" i="23"/>
  <c r="L14" i="23"/>
  <c r="E28" i="23"/>
  <c r="D28" i="23" s="1"/>
  <c r="E29" i="23"/>
  <c r="D29" i="23" s="1"/>
  <c r="F31" i="23"/>
  <c r="F6" i="23" s="1"/>
  <c r="H31" i="23"/>
  <c r="J33" i="23"/>
  <c r="I33" i="23" s="1"/>
  <c r="K33" i="23"/>
  <c r="L33" i="23"/>
  <c r="G40" i="23"/>
  <c r="J40" i="23"/>
  <c r="K40" i="23"/>
  <c r="L40" i="23"/>
  <c r="L31" i="23" s="1"/>
  <c r="L6" i="23" s="1"/>
  <c r="K6" i="4"/>
  <c r="E28" i="4"/>
  <c r="D28" i="4" s="1"/>
  <c r="E29" i="4"/>
  <c r="D29" i="4" s="1"/>
  <c r="F33" i="4"/>
  <c r="F31" i="4" s="1"/>
  <c r="F6" i="4" s="1"/>
  <c r="G33" i="4"/>
  <c r="H33" i="4"/>
  <c r="H31" i="4" s="1"/>
  <c r="J33" i="4"/>
  <c r="K33" i="4"/>
  <c r="L33" i="4"/>
  <c r="L31" i="4" s="1"/>
  <c r="L6" i="4" s="1"/>
  <c r="G40" i="4"/>
  <c r="J40" i="4"/>
  <c r="K40" i="4"/>
  <c r="L40" i="4"/>
  <c r="J6" i="5"/>
  <c r="K6" i="5"/>
  <c r="L6" i="5"/>
  <c r="J14" i="5"/>
  <c r="K14" i="5"/>
  <c r="L14" i="5"/>
  <c r="J21" i="5"/>
  <c r="K21" i="5"/>
  <c r="L21" i="5"/>
  <c r="E28" i="5"/>
  <c r="D28" i="5" s="1"/>
  <c r="E29" i="5"/>
  <c r="D29" i="5" s="1"/>
  <c r="F33" i="5"/>
  <c r="G33" i="5"/>
  <c r="H33" i="5"/>
  <c r="H31" i="5" s="1"/>
  <c r="L33" i="5"/>
  <c r="G40" i="5"/>
  <c r="J40" i="5"/>
  <c r="K40" i="5"/>
  <c r="L40" i="5"/>
  <c r="J6" i="6"/>
  <c r="K6" i="6"/>
  <c r="J14" i="6"/>
  <c r="K14" i="6"/>
  <c r="L14" i="6"/>
  <c r="E28" i="6"/>
  <c r="D28" i="6" s="1"/>
  <c r="E29" i="6"/>
  <c r="D29" i="6" s="1"/>
  <c r="H31" i="6"/>
  <c r="F33" i="6"/>
  <c r="F31" i="6" s="1"/>
  <c r="F6" i="6" s="1"/>
  <c r="H33" i="6"/>
  <c r="J33" i="6"/>
  <c r="K33" i="6"/>
  <c r="L33" i="6"/>
  <c r="I33" i="6" s="1"/>
  <c r="G40" i="6"/>
  <c r="J40" i="6"/>
  <c r="K40" i="6"/>
  <c r="L40" i="6"/>
  <c r="K14" i="11"/>
  <c r="L14" i="11"/>
  <c r="E28" i="11"/>
  <c r="D28" i="11" s="1"/>
  <c r="E29" i="11"/>
  <c r="D29" i="11" s="1"/>
  <c r="I32" i="11"/>
  <c r="F33" i="11"/>
  <c r="F31" i="11" s="1"/>
  <c r="F6" i="11" s="1"/>
  <c r="G33" i="11"/>
  <c r="H33" i="11"/>
  <c r="H31" i="11" s="1"/>
  <c r="L33" i="11"/>
  <c r="G40" i="11"/>
  <c r="J40" i="11"/>
  <c r="K40" i="11"/>
  <c r="J6" i="12"/>
  <c r="K6" i="12"/>
  <c r="E28" i="12"/>
  <c r="D28" i="12" s="1"/>
  <c r="E29" i="12"/>
  <c r="D29" i="12" s="1"/>
  <c r="H33" i="12"/>
  <c r="G40" i="12"/>
  <c r="J40" i="12"/>
  <c r="J31" i="12" s="1"/>
  <c r="K40" i="12"/>
  <c r="L40" i="12"/>
  <c r="L31" i="12" s="1"/>
  <c r="F6" i="13" l="1"/>
  <c r="D14" i="28"/>
  <c r="G31" i="26"/>
  <c r="G6" i="26" s="1"/>
  <c r="I33" i="4"/>
  <c r="I40" i="27"/>
  <c r="D40" i="27" s="1"/>
  <c r="J31" i="27"/>
  <c r="I33" i="15"/>
  <c r="I33" i="26"/>
  <c r="J31" i="16"/>
  <c r="I40" i="16"/>
  <c r="D40" i="16" s="1"/>
  <c r="H31" i="20"/>
  <c r="H6" i="20" s="1"/>
  <c r="E33" i="20"/>
  <c r="D33" i="20" s="1"/>
  <c r="E33" i="15"/>
  <c r="D33" i="15" s="1"/>
  <c r="G31" i="15"/>
  <c r="G6" i="15" s="1"/>
  <c r="H6" i="17"/>
  <c r="D21" i="17"/>
  <c r="I40" i="20"/>
  <c r="D40" i="20" s="1"/>
  <c r="L31" i="20"/>
  <c r="I33" i="22"/>
  <c r="L31" i="22"/>
  <c r="L31" i="6"/>
  <c r="I40" i="6"/>
  <c r="D40" i="6" s="1"/>
  <c r="I40" i="12"/>
  <c r="D40" i="12" s="1"/>
  <c r="L31" i="29"/>
  <c r="L6" i="29" s="1"/>
  <c r="I40" i="29"/>
  <c r="D40" i="29" s="1"/>
  <c r="D14" i="15"/>
  <c r="E33" i="4"/>
  <c r="E33" i="25"/>
  <c r="D33" i="25" s="1"/>
  <c r="E33" i="26"/>
  <c r="D8" i="20"/>
  <c r="D8" i="28"/>
  <c r="D8" i="17"/>
  <c r="E33" i="23"/>
  <c r="D33" i="23" s="1"/>
  <c r="G6" i="12"/>
  <c r="E33" i="12"/>
  <c r="D33" i="12" s="1"/>
  <c r="H6" i="12"/>
  <c r="E33" i="11"/>
  <c r="D33" i="11" s="1"/>
  <c r="G31" i="11"/>
  <c r="G6" i="11" s="1"/>
  <c r="J31" i="11"/>
  <c r="I40" i="11"/>
  <c r="D40" i="11" s="1"/>
  <c r="G31" i="6"/>
  <c r="G6" i="6" s="1"/>
  <c r="E33" i="6"/>
  <c r="D33" i="6" s="1"/>
  <c r="G31" i="5"/>
  <c r="G6" i="5" s="1"/>
  <c r="E33" i="5"/>
  <c r="D33" i="5" s="1"/>
  <c r="G31" i="4"/>
  <c r="G6" i="4" s="1"/>
  <c r="J31" i="4"/>
  <c r="I40" i="4"/>
  <c r="E40" i="4"/>
  <c r="G31" i="23"/>
  <c r="G6" i="23" s="1"/>
  <c r="I40" i="23"/>
  <c r="D40" i="23" s="1"/>
  <c r="J31" i="23"/>
  <c r="G31" i="22"/>
  <c r="G6" i="22" s="1"/>
  <c r="E33" i="22"/>
  <c r="E31" i="22"/>
  <c r="E33" i="21"/>
  <c r="D33" i="21" s="1"/>
  <c r="G31" i="21"/>
  <c r="G31" i="20"/>
  <c r="J31" i="19"/>
  <c r="I33" i="19"/>
  <c r="G31" i="19"/>
  <c r="G6" i="19" s="1"/>
  <c r="E33" i="19"/>
  <c r="D19" i="18"/>
  <c r="G31" i="14"/>
  <c r="G6" i="14" s="1"/>
  <c r="E33" i="14"/>
  <c r="D33" i="14" s="1"/>
  <c r="J31" i="14"/>
  <c r="I40" i="14"/>
  <c r="D40" i="14" s="1"/>
  <c r="H6" i="14"/>
  <c r="G31" i="17"/>
  <c r="G6" i="17" s="1"/>
  <c r="E33" i="17"/>
  <c r="D33" i="17" s="1"/>
  <c r="J31" i="17"/>
  <c r="I40" i="17"/>
  <c r="D40" i="17" s="1"/>
  <c r="G31" i="16"/>
  <c r="G6" i="16" s="1"/>
  <c r="E33" i="16"/>
  <c r="D33" i="16" s="1"/>
  <c r="D21" i="15"/>
  <c r="I40" i="15"/>
  <c r="J31" i="15"/>
  <c r="J6" i="15" s="1"/>
  <c r="E40" i="15"/>
  <c r="J31" i="29"/>
  <c r="I33" i="29"/>
  <c r="E33" i="29"/>
  <c r="G31" i="29"/>
  <c r="G6" i="29" s="1"/>
  <c r="G31" i="28"/>
  <c r="G6" i="28" s="1"/>
  <c r="E6" i="28" s="1"/>
  <c r="E33" i="28"/>
  <c r="D33" i="28" s="1"/>
  <c r="J31" i="28"/>
  <c r="I40" i="28"/>
  <c r="D40" i="28" s="1"/>
  <c r="E33" i="27"/>
  <c r="D33" i="27" s="1"/>
  <c r="G31" i="27"/>
  <c r="G6" i="27" s="1"/>
  <c r="E40" i="26"/>
  <c r="J31" i="26"/>
  <c r="I40" i="26"/>
  <c r="G31" i="25"/>
  <c r="G6" i="25" s="1"/>
  <c r="E40" i="25"/>
  <c r="J31" i="25"/>
  <c r="I40" i="25"/>
  <c r="D40" i="25" s="1"/>
  <c r="D8" i="24"/>
  <c r="E33" i="24"/>
  <c r="D33" i="24" s="1"/>
  <c r="G31" i="24"/>
  <c r="G6" i="24" s="1"/>
  <c r="I29" i="24"/>
  <c r="D29" i="24" s="1"/>
  <c r="I40" i="24"/>
  <c r="D40" i="24" s="1"/>
  <c r="E33" i="30"/>
  <c r="D33" i="30" s="1"/>
  <c r="G31" i="30"/>
  <c r="G6" i="30" s="1"/>
  <c r="E6" i="30" s="1"/>
  <c r="I40" i="30"/>
  <c r="D40" i="30" s="1"/>
  <c r="J31" i="30"/>
  <c r="G31" i="13"/>
  <c r="E33" i="13"/>
  <c r="D33" i="13" s="1"/>
  <c r="J31" i="13"/>
  <c r="I40" i="13"/>
  <c r="D40" i="13" s="1"/>
  <c r="I33" i="18"/>
  <c r="D33" i="18" s="1"/>
  <c r="J31" i="18"/>
  <c r="J6" i="18" s="1"/>
  <c r="E14" i="18"/>
  <c r="E16" i="18"/>
  <c r="D16" i="18" s="1"/>
  <c r="E44" i="18"/>
  <c r="D44" i="18" s="1"/>
  <c r="I14" i="18"/>
  <c r="I40" i="18"/>
  <c r="E10" i="18"/>
  <c r="D10" i="18" s="1"/>
  <c r="L31" i="18"/>
  <c r="L6" i="18" s="1"/>
  <c r="K31" i="18"/>
  <c r="K6" i="18" s="1"/>
  <c r="H6" i="4"/>
  <c r="H6" i="19"/>
  <c r="H6" i="5"/>
  <c r="H6" i="6"/>
  <c r="H6" i="11"/>
  <c r="H6" i="16"/>
  <c r="E31" i="21"/>
  <c r="D31" i="21" s="1"/>
  <c r="H6" i="25"/>
  <c r="H6" i="22"/>
  <c r="H6" i="24"/>
  <c r="H6" i="13"/>
  <c r="H6" i="23"/>
  <c r="E6" i="21"/>
  <c r="H6" i="26"/>
  <c r="H6" i="15"/>
  <c r="H6" i="29"/>
  <c r="H6" i="27"/>
  <c r="I6" i="5"/>
  <c r="I6" i="21"/>
  <c r="E31" i="23" l="1"/>
  <c r="D33" i="4"/>
  <c r="D40" i="4"/>
  <c r="E31" i="5"/>
  <c r="D31" i="5" s="1"/>
  <c r="E31" i="6"/>
  <c r="E6" i="11"/>
  <c r="I31" i="16"/>
  <c r="J6" i="16"/>
  <c r="I6" i="16" s="1"/>
  <c r="D33" i="26"/>
  <c r="E31" i="17"/>
  <c r="I31" i="27"/>
  <c r="J6" i="27"/>
  <c r="I6" i="27" s="1"/>
  <c r="E31" i="26"/>
  <c r="I6" i="18"/>
  <c r="G6" i="20"/>
  <c r="E6" i="20" s="1"/>
  <c r="E31" i="20"/>
  <c r="E31" i="28"/>
  <c r="E31" i="13"/>
  <c r="E31" i="15"/>
  <c r="E6" i="15"/>
  <c r="E6" i="26"/>
  <c r="E6" i="17"/>
  <c r="D33" i="19"/>
  <c r="I31" i="20"/>
  <c r="L6" i="20"/>
  <c r="I6" i="20" s="1"/>
  <c r="D33" i="22"/>
  <c r="I31" i="22"/>
  <c r="D31" i="22" s="1"/>
  <c r="L6" i="22"/>
  <c r="I6" i="22" s="1"/>
  <c r="I31" i="6"/>
  <c r="L6" i="6"/>
  <c r="I6" i="6" s="1"/>
  <c r="I31" i="11"/>
  <c r="J6" i="11"/>
  <c r="I6" i="11" s="1"/>
  <c r="I31" i="12"/>
  <c r="L6" i="12"/>
  <c r="I6" i="12" s="1"/>
  <c r="E6" i="6"/>
  <c r="E31" i="11"/>
  <c r="E31" i="12"/>
  <c r="E6" i="12"/>
  <c r="E31" i="24"/>
  <c r="E31" i="25"/>
  <c r="E31" i="27"/>
  <c r="D31" i="27" s="1"/>
  <c r="E31" i="29"/>
  <c r="E6" i="14"/>
  <c r="E6" i="19"/>
  <c r="E6" i="22"/>
  <c r="E6" i="4"/>
  <c r="E6" i="29"/>
  <c r="E6" i="5"/>
  <c r="D6" i="5" s="1"/>
  <c r="E31" i="4"/>
  <c r="I31" i="4"/>
  <c r="J6" i="4"/>
  <c r="I6" i="4" s="1"/>
  <c r="E6" i="23"/>
  <c r="I31" i="23"/>
  <c r="J6" i="23"/>
  <c r="I6" i="23" s="1"/>
  <c r="I31" i="19"/>
  <c r="J6" i="19"/>
  <c r="I6" i="19" s="1"/>
  <c r="E31" i="19"/>
  <c r="D31" i="19" s="1"/>
  <c r="E31" i="14"/>
  <c r="I31" i="14"/>
  <c r="J6" i="14"/>
  <c r="I6" i="14" s="1"/>
  <c r="I31" i="17"/>
  <c r="J6" i="17"/>
  <c r="I6" i="17" s="1"/>
  <c r="E6" i="16"/>
  <c r="E31" i="16"/>
  <c r="D40" i="15"/>
  <c r="I31" i="15"/>
  <c r="I6" i="15"/>
  <c r="D33" i="29"/>
  <c r="I31" i="29"/>
  <c r="J6" i="29"/>
  <c r="I6" i="29" s="1"/>
  <c r="I31" i="28"/>
  <c r="J6" i="28"/>
  <c r="I6" i="28" s="1"/>
  <c r="D6" i="28" s="1"/>
  <c r="E6" i="27"/>
  <c r="D6" i="27" s="1"/>
  <c r="D40" i="26"/>
  <c r="I31" i="26"/>
  <c r="J6" i="26"/>
  <c r="I6" i="26" s="1"/>
  <c r="E6" i="25"/>
  <c r="I31" i="25"/>
  <c r="J6" i="25"/>
  <c r="I6" i="25" s="1"/>
  <c r="E6" i="24"/>
  <c r="I31" i="24"/>
  <c r="I6" i="24"/>
  <c r="E31" i="30"/>
  <c r="I31" i="30"/>
  <c r="J6" i="30"/>
  <c r="I6" i="30" s="1"/>
  <c r="D6" i="30" s="1"/>
  <c r="I31" i="13"/>
  <c r="J6" i="13"/>
  <c r="I6" i="13" s="1"/>
  <c r="E40" i="18"/>
  <c r="D40" i="18" s="1"/>
  <c r="E31" i="18"/>
  <c r="D14" i="18"/>
  <c r="E8" i="18"/>
  <c r="D8" i="18" s="1"/>
  <c r="I31" i="18"/>
  <c r="D6" i="21"/>
  <c r="D31" i="23" l="1"/>
  <c r="D31" i="6"/>
  <c r="D6" i="11"/>
  <c r="D31" i="16"/>
  <c r="D6" i="16"/>
  <c r="D31" i="26"/>
  <c r="D31" i="17"/>
  <c r="D31" i="20"/>
  <c r="D31" i="30"/>
  <c r="D31" i="28"/>
  <c r="D6" i="20"/>
  <c r="D6" i="12"/>
  <c r="D31" i="13"/>
  <c r="D6" i="15"/>
  <c r="D31" i="15"/>
  <c r="D6" i="26"/>
  <c r="D6" i="17"/>
  <c r="D31" i="14"/>
  <c r="D6" i="22"/>
  <c r="D6" i="23"/>
  <c r="D6" i="6"/>
  <c r="D31" i="11"/>
  <c r="D31" i="12"/>
  <c r="D31" i="24"/>
  <c r="D31" i="25"/>
  <c r="D31" i="29"/>
  <c r="D6" i="19"/>
  <c r="D31" i="4"/>
  <c r="D6" i="29"/>
  <c r="D6" i="14"/>
  <c r="D6" i="4"/>
  <c r="D6" i="25"/>
  <c r="D6" i="24"/>
  <c r="E6" i="18"/>
  <c r="D6" i="18" s="1"/>
  <c r="D31" i="18"/>
  <c r="D10" i="13"/>
  <c r="E10" i="13"/>
  <c r="G8" i="13"/>
  <c r="G6" i="13" s="1"/>
  <c r="E6" i="13" s="1"/>
  <c r="D6" i="13" s="1"/>
  <c r="E8" i="13" l="1"/>
  <c r="D8" i="13" s="1"/>
</calcChain>
</file>

<file path=xl/sharedStrings.xml><?xml version="1.0" encoding="utf-8"?>
<sst xmlns="http://schemas.openxmlformats.org/spreadsheetml/2006/main" count="1763" uniqueCount="95">
  <si>
    <t>Наименование</t>
  </si>
  <si>
    <t>Код статьи по экономической классификации расходов</t>
  </si>
  <si>
    <t>№    строки</t>
  </si>
  <si>
    <t>Всего за отчетный период</t>
  </si>
  <si>
    <t>Бюджетные средства,    в том числе:</t>
  </si>
  <si>
    <t>Предпринимательская и иная, приносящая доход деятельность</t>
  </si>
  <si>
    <t>Всего</t>
  </si>
  <si>
    <t xml:space="preserve"> в т.ч.средства бюджета РФ(федеральный)</t>
  </si>
  <si>
    <t xml:space="preserve"> в т.ч.средства бюджета  Московской области (областной)</t>
  </si>
  <si>
    <t xml:space="preserve"> в т.ч.средства местного бюджета</t>
  </si>
  <si>
    <t>в т.ч. от оказания платных услуг</t>
  </si>
  <si>
    <t>в т.ч. Средства внебюджетных фондов</t>
  </si>
  <si>
    <t>в т.ч. Другие источники финансирования</t>
  </si>
  <si>
    <t>Расходы - всего</t>
  </si>
  <si>
    <t>01</t>
  </si>
  <si>
    <t>в том числе:</t>
  </si>
  <si>
    <t>Оплата труда и начисления на оплату труда,</t>
  </si>
  <si>
    <t>02</t>
  </si>
  <si>
    <t>заработная плата</t>
  </si>
  <si>
    <t>03</t>
  </si>
  <si>
    <t>прочие выплаты, из них:</t>
  </si>
  <si>
    <t>04</t>
  </si>
  <si>
    <t>компенсация за приобретение книгоиздательской продукции и периодических изданий</t>
  </si>
  <si>
    <t>05</t>
  </si>
  <si>
    <t>начисления на оплату труда</t>
  </si>
  <si>
    <t>06</t>
  </si>
  <si>
    <t>Приобретение услуг</t>
  </si>
  <si>
    <t>07</t>
  </si>
  <si>
    <t>услуги связи, из них:</t>
  </si>
  <si>
    <t>08</t>
  </si>
  <si>
    <t>подключение и использование глобальной сети Интернет</t>
  </si>
  <si>
    <t>09</t>
  </si>
  <si>
    <t>транспортные услуги</t>
  </si>
  <si>
    <t>10</t>
  </si>
  <si>
    <t>коммунальные услуги</t>
  </si>
  <si>
    <t>11</t>
  </si>
  <si>
    <t>арендная плата за пользование</t>
  </si>
  <si>
    <t>12</t>
  </si>
  <si>
    <t>услуги по содержанию имущества, из них:</t>
  </si>
  <si>
    <t>13</t>
  </si>
  <si>
    <t>содержание помещений</t>
  </si>
  <si>
    <t>14</t>
  </si>
  <si>
    <t>текущий ремонт</t>
  </si>
  <si>
    <t>15</t>
  </si>
  <si>
    <t>капитальный ремонт</t>
  </si>
  <si>
    <t>прочие услуги, из них:</t>
  </si>
  <si>
    <t>плата за вневедомственную (в том числе пожарную) охрану, охранную и пожарную сигнализацию (установку, наладку и эксплуатацию)</t>
  </si>
  <si>
    <t>услуги в области информационных технологий (приобретение неисключительных пользовательских прав)</t>
  </si>
  <si>
    <t>Социальное обеспечение</t>
  </si>
  <si>
    <t>Прочие расходы, из них:</t>
  </si>
  <si>
    <t>выплаты спортсменам и их тренерам</t>
  </si>
  <si>
    <t>Поступление нефинансовых активов</t>
  </si>
  <si>
    <t>увеличение стоимости основных средств, из них:</t>
  </si>
  <si>
    <t>хозяйственный инвентарь</t>
  </si>
  <si>
    <t>прочие расходные материалы и предметы снабжения</t>
  </si>
  <si>
    <t>дорогостоящее оборудование и предметы длительного пользования</t>
  </si>
  <si>
    <t>комплектование библиотечных фондов</t>
  </si>
  <si>
    <t>увеличение стоимости нематериальных активов</t>
  </si>
  <si>
    <t>увеличение стоимости непроизведенных активов</t>
  </si>
  <si>
    <t>увеличение стоимости материальных запасов, из них</t>
  </si>
  <si>
    <t>медикаменты и перевязочные средства</t>
  </si>
  <si>
    <t>мягкий инвентарь</t>
  </si>
  <si>
    <t>продукты питания</t>
  </si>
  <si>
    <t>хозяйственные материалы</t>
  </si>
  <si>
    <t>канцелярские принадлежности</t>
  </si>
  <si>
    <t>другие расходы</t>
  </si>
  <si>
    <t>230, 240, 250, 500, 600</t>
  </si>
  <si>
    <t>Начальная Авсюнинская сельская школа</t>
  </si>
  <si>
    <t>Приложение 5. Расходование средств по источникам финансирования.</t>
  </si>
  <si>
    <t>Ликино-Дулевская №2</t>
  </si>
  <si>
    <t>Ликино-Дулевская №3</t>
  </si>
  <si>
    <t>Ликино-Дулевская № 4</t>
  </si>
  <si>
    <t>ППРиК</t>
  </si>
  <si>
    <t>ГСМ и зап части</t>
  </si>
  <si>
    <t>Дрезненская № 1</t>
  </si>
  <si>
    <t>Дрезненская гимназия</t>
  </si>
  <si>
    <t>Куровская №2</t>
  </si>
  <si>
    <t>Куровская гимназия</t>
  </si>
  <si>
    <t>Ликино-Дулевская гимназия</t>
  </si>
  <si>
    <t>Ликино-Дулевский лицей</t>
  </si>
  <si>
    <t>Ликино-Дулевская №5</t>
  </si>
  <si>
    <t>ГСМ и запч</t>
  </si>
  <si>
    <t>Авсюнинская средняя шк</t>
  </si>
  <si>
    <t>Верейская</t>
  </si>
  <si>
    <t>Запутновская</t>
  </si>
  <si>
    <t>Ильинская</t>
  </si>
  <si>
    <t>ГСМ и запчасти</t>
  </si>
  <si>
    <t>Кабановская</t>
  </si>
  <si>
    <t>Малодубенская</t>
  </si>
  <si>
    <t>Новинская</t>
  </si>
  <si>
    <t>Соболевская</t>
  </si>
  <si>
    <t>Давыдов. Гимназия</t>
  </si>
  <si>
    <t>Давыдовский лицей</t>
  </si>
  <si>
    <t>Демиховская средняя школа</t>
  </si>
  <si>
    <t>Щетиновская средняя школа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</si>
</sst>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/>
    <xf numFmtId="0" fontId="0" fillId="2" borderId="1" xfId="0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1" xfId="0" applyFill="1" applyBorder="1" applyAlignment="1"/>
    <xf numFmtId="0" fontId="0" fillId="0" borderId="1" xfId="0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2" fillId="2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3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Fill="1" applyBorder="1" applyAlignment="1">
      <alignment horizontal="right" vertical="center" wrapText="1"/>
    </xf>
    <xf numFmtId="164" fontId="0" fillId="0" borderId="1" xfId="0" applyNumberFormat="1" applyFill="1" applyBorder="1"/>
    <xf numFmtId="164" fontId="3" fillId="0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111"/>
  <sheetViews>
    <sheetView zoomScaleNormal="100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G37" sqref="G37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5" max="5" width="10.1406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82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39163.599999999999</v>
      </c>
      <c r="E6" s="11">
        <f>F6+G6+H6</f>
        <v>38867.5</v>
      </c>
      <c r="F6" s="12">
        <f>F8+F14+F28+F29+F31+F46</f>
        <v>1199.8</v>
      </c>
      <c r="G6" s="12">
        <f>G8+G14+G28+G29+G31</f>
        <v>33699.399999999994</v>
      </c>
      <c r="H6" s="12">
        <f>H8+H14+H28+H29+H31</f>
        <v>3968.2999999999997</v>
      </c>
      <c r="I6" s="12">
        <f>J6+K6+L6</f>
        <v>296.09999999999997</v>
      </c>
      <c r="J6" s="12">
        <f>SUM(J8+J14+J28+J29+J31)</f>
        <v>296.09999999999997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30592.400000000001</v>
      </c>
      <c r="E8" s="11">
        <f>F8+G8+H8</f>
        <v>30477.7</v>
      </c>
      <c r="F8" s="11">
        <f>F10+F11+F13</f>
        <v>80.2</v>
      </c>
      <c r="G8" s="11">
        <f>G10+G11+G13</f>
        <v>30397.5</v>
      </c>
      <c r="H8" s="11">
        <f>H10+H11+H13</f>
        <v>0</v>
      </c>
      <c r="I8" s="11">
        <f>J8+K8+L8</f>
        <v>114.7</v>
      </c>
      <c r="J8" s="11">
        <f t="shared" ref="J8:L8" si="0">J10+J11+J13</f>
        <v>114.7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23658.899999999998</v>
      </c>
      <c r="E10" s="11">
        <f>F10+G10+H10</f>
        <v>23570.499999999996</v>
      </c>
      <c r="F10" s="19">
        <v>61.6</v>
      </c>
      <c r="G10" s="17">
        <f>23274.8+234.1</f>
        <v>23508.899999999998</v>
      </c>
      <c r="H10" s="17"/>
      <c r="I10" s="11">
        <f t="shared" ref="I10:I13" si="1">J10+K10+L10</f>
        <v>88.4</v>
      </c>
      <c r="J10" s="17">
        <v>88.4</v>
      </c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1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6933.5000000000009</v>
      </c>
      <c r="E13" s="11">
        <f>F13+G13+H13</f>
        <v>6907.2000000000007</v>
      </c>
      <c r="F13" s="19">
        <v>18.600000000000001</v>
      </c>
      <c r="G13" s="17">
        <f>6820.6+68</f>
        <v>6888.6</v>
      </c>
      <c r="H13" s="17"/>
      <c r="I13" s="11">
        <f t="shared" si="1"/>
        <v>26.3</v>
      </c>
      <c r="J13" s="17">
        <v>26.3</v>
      </c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5931.2</v>
      </c>
      <c r="E14" s="11">
        <f>F14+G14+H14</f>
        <v>5853.2</v>
      </c>
      <c r="F14" s="23">
        <f>F16+F18+F19+F20+F21+F25</f>
        <v>399.4</v>
      </c>
      <c r="G14" s="23">
        <f>G16+G18+G19+G20+G21+G25</f>
        <v>2149.6</v>
      </c>
      <c r="H14" s="23">
        <f t="shared" ref="H14:L14" si="4">H16+H18+H19+H20+H21+H25</f>
        <v>3304.2</v>
      </c>
      <c r="I14" s="11">
        <f>J14+K14+L14</f>
        <v>78</v>
      </c>
      <c r="J14" s="23">
        <f>J16+J18+J19+J20+J21+J25</f>
        <v>78</v>
      </c>
      <c r="K14" s="23">
        <f t="shared" si="4"/>
        <v>0</v>
      </c>
      <c r="L14" s="23">
        <f t="shared" si="4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48.8</v>
      </c>
      <c r="E16" s="11">
        <f>F16+G16+H16</f>
        <v>48.8</v>
      </c>
      <c r="F16" s="19"/>
      <c r="G16" s="17">
        <v>17.5</v>
      </c>
      <c r="H16" s="19">
        <f>18.8+12.5</f>
        <v>31.3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1647.7</v>
      </c>
      <c r="E18" s="11">
        <f t="shared" ref="E18:E27" si="7">F18+G18+H18</f>
        <v>1647.7</v>
      </c>
      <c r="F18" s="19"/>
      <c r="G18" s="17">
        <v>314</v>
      </c>
      <c r="H18" s="19">
        <f>2.5+1331.2</f>
        <v>1333.7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1307.6999999999998</v>
      </c>
      <c r="E19" s="11">
        <f t="shared" si="7"/>
        <v>1267.3999999999999</v>
      </c>
      <c r="F19" s="19"/>
      <c r="G19" s="17"/>
      <c r="H19" s="19">
        <f>33.1+184+1050.3</f>
        <v>1267.3999999999999</v>
      </c>
      <c r="I19" s="11">
        <f t="shared" si="6"/>
        <v>40.299999999999997</v>
      </c>
      <c r="J19" s="17">
        <f>14+26.3</f>
        <v>40.299999999999997</v>
      </c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563.1</v>
      </c>
      <c r="E21" s="11">
        <f t="shared" si="7"/>
        <v>563.1</v>
      </c>
      <c r="F21" s="21">
        <f>F22+F23+F24</f>
        <v>0</v>
      </c>
      <c r="G21" s="21">
        <f t="shared" ref="G21:J21" si="8">G22+G23+G24</f>
        <v>300</v>
      </c>
      <c r="H21" s="21">
        <f t="shared" si="8"/>
        <v>263.10000000000002</v>
      </c>
      <c r="I21" s="11">
        <f t="shared" si="6"/>
        <v>0</v>
      </c>
      <c r="J21" s="21">
        <f t="shared" si="8"/>
        <v>0</v>
      </c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63.1</v>
      </c>
      <c r="E22" s="11">
        <f t="shared" si="7"/>
        <v>63.1</v>
      </c>
      <c r="F22" s="19"/>
      <c r="G22" s="17"/>
      <c r="H22" s="19">
        <v>63.1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500</v>
      </c>
      <c r="E23" s="11">
        <f t="shared" si="7"/>
        <v>500</v>
      </c>
      <c r="F23" s="19"/>
      <c r="G23" s="19">
        <v>300</v>
      </c>
      <c r="H23" s="19">
        <v>200</v>
      </c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2363.8999999999996</v>
      </c>
      <c r="E25" s="11">
        <f t="shared" si="7"/>
        <v>2326.1999999999998</v>
      </c>
      <c r="F25" s="19">
        <v>399.4</v>
      </c>
      <c r="G25" s="17">
        <f>55+1368.6+94.5</f>
        <v>1518.1</v>
      </c>
      <c r="H25" s="19">
        <f>310.6+98.1</f>
        <v>408.70000000000005</v>
      </c>
      <c r="I25" s="11">
        <f t="shared" si="6"/>
        <v>37.700000000000003</v>
      </c>
      <c r="J25" s="17">
        <v>37.700000000000003</v>
      </c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110.4</v>
      </c>
      <c r="E26" s="11">
        <f t="shared" si="7"/>
        <v>110.4</v>
      </c>
      <c r="F26" s="19"/>
      <c r="G26" s="17"/>
      <c r="H26" s="17">
        <v>110.4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166.7</v>
      </c>
      <c r="E28" s="35">
        <f>F28+G28+H28</f>
        <v>166.7</v>
      </c>
      <c r="F28" s="36"/>
      <c r="G28" s="37">
        <v>97.8</v>
      </c>
      <c r="H28" s="37">
        <v>68.900000000000006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341.1</v>
      </c>
      <c r="E29" s="35">
        <f>F29+G29+H29</f>
        <v>337.6</v>
      </c>
      <c r="F29" s="36"/>
      <c r="G29" s="37"/>
      <c r="H29" s="36">
        <v>337.6</v>
      </c>
      <c r="I29" s="11">
        <f>J29+K29+L29</f>
        <v>3.5</v>
      </c>
      <c r="J29" s="25">
        <v>3.5</v>
      </c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2132.2000000000003</v>
      </c>
      <c r="E31" s="35">
        <f>F31+G31+H31</f>
        <v>2032.3000000000002</v>
      </c>
      <c r="F31" s="11">
        <f>SUM(F33+F38+F39+F40)</f>
        <v>720.2</v>
      </c>
      <c r="G31" s="11">
        <f>G33+G38+G39+G40</f>
        <v>1054.5</v>
      </c>
      <c r="H31" s="11">
        <f>SUM(H33+H38+H39+H40)</f>
        <v>257.60000000000002</v>
      </c>
      <c r="I31" s="11">
        <f>J31+K31+L31</f>
        <v>99.899999999999991</v>
      </c>
      <c r="J31" s="11">
        <f>J33+J38+J40</f>
        <v>99.899999999999991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1420.9</v>
      </c>
      <c r="E33" s="11">
        <f>F33+G33+H33</f>
        <v>1420.9</v>
      </c>
      <c r="F33" s="16">
        <f>SUM(F34:F37)</f>
        <v>268.89999999999998</v>
      </c>
      <c r="G33" s="16">
        <f>SUM(G34:G37)</f>
        <v>1054.5</v>
      </c>
      <c r="H33" s="16">
        <f>SUM(H34:H37)</f>
        <v>97.5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366.4</v>
      </c>
      <c r="E35" s="11">
        <f t="shared" si="10"/>
        <v>366.4</v>
      </c>
      <c r="F35" s="17">
        <v>268.89999999999998</v>
      </c>
      <c r="G35" s="17"/>
      <c r="H35" s="17">
        <v>97.5</v>
      </c>
      <c r="I35" s="11">
        <f t="shared" si="11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1054.5</v>
      </c>
      <c r="E37" s="11">
        <f t="shared" si="10"/>
        <v>1054.5</v>
      </c>
      <c r="F37" s="17"/>
      <c r="G37" s="17">
        <v>1054.5</v>
      </c>
      <c r="H37" s="17"/>
      <c r="I37" s="11">
        <f t="shared" si="11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9"/>
      <c r="I38" s="11">
        <f t="shared" si="11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711.3</v>
      </c>
      <c r="E40" s="11">
        <f>F40+G40+H40</f>
        <v>611.4</v>
      </c>
      <c r="F40" s="17">
        <f>SUM(F41:F45)</f>
        <v>451.3</v>
      </c>
      <c r="G40" s="17">
        <f>SUM(G41:G45)</f>
        <v>0</v>
      </c>
      <c r="H40" s="17">
        <f>SUM(H41:H45)</f>
        <v>160.1</v>
      </c>
      <c r="I40" s="11">
        <f t="shared" si="11"/>
        <v>99.899999999999991</v>
      </c>
      <c r="J40" s="17">
        <f>SUM(J41:J45)</f>
        <v>99.899999999999991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0</v>
      </c>
      <c r="E41" s="11">
        <f t="shared" si="10"/>
        <v>0</v>
      </c>
      <c r="F41" s="17"/>
      <c r="G41" s="17"/>
      <c r="H41" s="17"/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0</v>
      </c>
      <c r="E43" s="11">
        <f t="shared" si="10"/>
        <v>0</v>
      </c>
      <c r="F43" s="17"/>
      <c r="G43" s="17"/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711.3</v>
      </c>
      <c r="E44" s="11">
        <f t="shared" si="10"/>
        <v>611.4</v>
      </c>
      <c r="F44" s="17">
        <v>451.3</v>
      </c>
      <c r="G44" s="17"/>
      <c r="H44" s="17">
        <v>160.1</v>
      </c>
      <c r="I44" s="11">
        <f t="shared" si="11"/>
        <v>99.899999999999991</v>
      </c>
      <c r="J44" s="17">
        <f>89.8+10.1</f>
        <v>99.899999999999991</v>
      </c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ht="25.5" x14ac:dyDescent="0.2">
      <c r="A46" s="25" t="s">
        <v>65</v>
      </c>
      <c r="B46" s="23" t="s">
        <v>66</v>
      </c>
      <c r="C46" s="23">
        <v>37</v>
      </c>
      <c r="D46" s="16">
        <f t="shared" si="9"/>
        <v>0</v>
      </c>
      <c r="E46" s="11">
        <f t="shared" si="10"/>
        <v>0</v>
      </c>
      <c r="F46" s="25"/>
      <c r="G46" s="25"/>
      <c r="H46" s="25"/>
      <c r="I46" s="11">
        <f t="shared" si="11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pageSetup paperSize="9" scale="60" orientation="landscape" r:id="rId1"/>
  <headerFooter alignWithMargins="0"/>
  <rowBreaks count="1" manualBreakCount="1">
    <brk id="4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2"/>
  <sheetViews>
    <sheetView workbookViewId="0">
      <pane xSplit="3" ySplit="5" topLeftCell="F6" activePane="bottomRight" state="frozen"/>
      <selection activeCell="G46" sqref="G46"/>
      <selection pane="topRight" activeCell="G46" sqref="G46"/>
      <selection pane="bottomLeft" activeCell="G46" sqref="G46"/>
      <selection pane="bottomRight" activeCell="J26" sqref="J26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89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18936.400000000001</v>
      </c>
      <c r="E6" s="11">
        <f>F6+G6+H6</f>
        <v>18867.600000000002</v>
      </c>
      <c r="F6" s="12">
        <f>F8+F14+F28+F29+F31+F46</f>
        <v>36.4</v>
      </c>
      <c r="G6" s="12">
        <f>G8+G14+G28+G29+G31</f>
        <v>15836.600000000002</v>
      </c>
      <c r="H6" s="12">
        <f>H8+H14+H28+H29+H31</f>
        <v>2994.6</v>
      </c>
      <c r="I6" s="12">
        <f>J6+K6+L6</f>
        <v>68.8</v>
      </c>
      <c r="J6" s="12">
        <f>SUM(J8+J14+J28+J29+J31)</f>
        <v>68.8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14778.5</v>
      </c>
      <c r="E8" s="11">
        <f>F8+G8+H8</f>
        <v>14750.6</v>
      </c>
      <c r="F8" s="11">
        <f>F10+F11+F13</f>
        <v>36.4</v>
      </c>
      <c r="G8" s="11">
        <f>G10+G11+G13</f>
        <v>14702.400000000001</v>
      </c>
      <c r="H8" s="11">
        <f>H10+H11+H13</f>
        <v>11.8</v>
      </c>
      <c r="I8" s="11">
        <f>J8+K8+L8</f>
        <v>27.9</v>
      </c>
      <c r="J8" s="11">
        <f t="shared" ref="J8:L8" si="0">J10+J11+J13</f>
        <v>27.9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11497.5</v>
      </c>
      <c r="E10" s="11">
        <f>F10+G10+H10</f>
        <v>11476.1</v>
      </c>
      <c r="F10" s="19">
        <v>28</v>
      </c>
      <c r="G10" s="17">
        <f>11336.9+111.2</f>
        <v>11448.1</v>
      </c>
      <c r="H10" s="17"/>
      <c r="I10" s="11">
        <f t="shared" ref="I10:I13" si="1">J10+K10+L10</f>
        <v>21.4</v>
      </c>
      <c r="J10" s="17">
        <v>21.4</v>
      </c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11.8</v>
      </c>
      <c r="E11" s="11">
        <f>F11+G11+H11</f>
        <v>11.8</v>
      </c>
      <c r="F11" s="19"/>
      <c r="G11" s="17"/>
      <c r="H11" s="17">
        <v>11.8</v>
      </c>
      <c r="I11" s="11">
        <f t="shared" si="1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3269.2000000000003</v>
      </c>
      <c r="E13" s="11">
        <f>F13+G13+H13</f>
        <v>3262.7000000000003</v>
      </c>
      <c r="F13" s="19">
        <v>8.4</v>
      </c>
      <c r="G13" s="17">
        <f>3220.9+33.4</f>
        <v>3254.3</v>
      </c>
      <c r="H13" s="17"/>
      <c r="I13" s="11">
        <f t="shared" si="1"/>
        <v>6.5</v>
      </c>
      <c r="J13" s="17">
        <v>6.5</v>
      </c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3257</v>
      </c>
      <c r="E14" s="11">
        <f>F14+G14+H14</f>
        <v>3216.1</v>
      </c>
      <c r="F14" s="23">
        <f>F16+F18+F19+F20+F21+F25</f>
        <v>0</v>
      </c>
      <c r="G14" s="23">
        <f t="shared" ref="G14:L14" si="4">G16+G18+G19+G20+G21+G25</f>
        <v>695</v>
      </c>
      <c r="H14" s="23">
        <f t="shared" si="4"/>
        <v>2521.1</v>
      </c>
      <c r="I14" s="23">
        <f t="shared" si="4"/>
        <v>40.9</v>
      </c>
      <c r="J14" s="23">
        <f>J16+J18+J19+J20+J21+J25</f>
        <v>40.9</v>
      </c>
      <c r="K14" s="23">
        <f>K16+K18+K19+K20+K21+K25</f>
        <v>0</v>
      </c>
      <c r="L14" s="23">
        <f t="shared" si="4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56.4</v>
      </c>
      <c r="E16" s="11">
        <f>F16+G16+H16</f>
        <v>56.4</v>
      </c>
      <c r="F16" s="19"/>
      <c r="G16" s="17">
        <v>17.5</v>
      </c>
      <c r="H16" s="17">
        <f>26.4+12.5</f>
        <v>38.9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17.399999999999999</v>
      </c>
      <c r="E18" s="11">
        <f t="shared" ref="E18:E27" si="7">F18+G18+H18</f>
        <v>17.399999999999999</v>
      </c>
      <c r="F18" s="19"/>
      <c r="G18" s="17"/>
      <c r="H18" s="17">
        <v>17.399999999999999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28</v>
      </c>
      <c r="E19" s="11">
        <f t="shared" si="7"/>
        <v>0</v>
      </c>
      <c r="F19" s="19"/>
      <c r="G19" s="17"/>
      <c r="H19" s="17"/>
      <c r="I19" s="11">
        <f t="shared" si="6"/>
        <v>28</v>
      </c>
      <c r="J19" s="17">
        <f>18.1+9.9</f>
        <v>28</v>
      </c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940.5</v>
      </c>
      <c r="E21" s="11">
        <f t="shared" si="7"/>
        <v>940.5</v>
      </c>
      <c r="F21" s="21">
        <f>F22+F23+F24</f>
        <v>0</v>
      </c>
      <c r="G21" s="21">
        <f t="shared" ref="G21:J21" si="8">G22+G23+G24</f>
        <v>300</v>
      </c>
      <c r="H21" s="21">
        <f t="shared" si="8"/>
        <v>640.5</v>
      </c>
      <c r="I21" s="11">
        <f t="shared" si="6"/>
        <v>0</v>
      </c>
      <c r="J21" s="21">
        <f t="shared" si="8"/>
        <v>0</v>
      </c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90.5</v>
      </c>
      <c r="E22" s="11">
        <f t="shared" si="7"/>
        <v>90.5</v>
      </c>
      <c r="F22" s="19"/>
      <c r="G22" s="17"/>
      <c r="H22" s="17">
        <v>90.5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850</v>
      </c>
      <c r="E23" s="11">
        <f t="shared" si="7"/>
        <v>850</v>
      </c>
      <c r="F23" s="19"/>
      <c r="G23" s="17">
        <v>300</v>
      </c>
      <c r="H23" s="17">
        <f>400+150</f>
        <v>550</v>
      </c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2214.7000000000003</v>
      </c>
      <c r="E25" s="11">
        <f t="shared" si="7"/>
        <v>2201.8000000000002</v>
      </c>
      <c r="F25" s="19"/>
      <c r="G25" s="17">
        <v>377.5</v>
      </c>
      <c r="H25" s="17">
        <f>46.5+177.6+1065.4+314.7+100+98.1+22</f>
        <v>1824.3</v>
      </c>
      <c r="I25" s="11">
        <f t="shared" si="6"/>
        <v>12.9</v>
      </c>
      <c r="J25" s="17">
        <f>12.9</f>
        <v>12.9</v>
      </c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63</v>
      </c>
      <c r="E26" s="11">
        <f t="shared" si="7"/>
        <v>63</v>
      </c>
      <c r="F26" s="19"/>
      <c r="G26" s="17"/>
      <c r="H26" s="17">
        <v>63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69.599999999999994</v>
      </c>
      <c r="E28" s="35">
        <f>F28+G28+H28</f>
        <v>69.599999999999994</v>
      </c>
      <c r="F28" s="36"/>
      <c r="G28" s="37">
        <v>30.6</v>
      </c>
      <c r="H28" s="37">
        <v>39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349.1</v>
      </c>
      <c r="E29" s="35">
        <f>F29+G29+H29</f>
        <v>349.1</v>
      </c>
      <c r="F29" s="36"/>
      <c r="G29" s="37"/>
      <c r="H29" s="37">
        <v>349.1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482.20000000000005</v>
      </c>
      <c r="E31" s="35">
        <f>F31+G31+H31</f>
        <v>482.20000000000005</v>
      </c>
      <c r="F31" s="11">
        <f>SUM(F33+F38+F39+F40)</f>
        <v>0</v>
      </c>
      <c r="G31" s="11">
        <f>G33+G38+G39+G40</f>
        <v>408.6</v>
      </c>
      <c r="H31" s="11">
        <f>SUM(H33+H38+H39+H40)</f>
        <v>73.599999999999994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458.6</v>
      </c>
      <c r="E33" s="11">
        <f>F33+G33+H33</f>
        <v>458.6</v>
      </c>
      <c r="F33" s="16">
        <f>SUM(F34:F37)</f>
        <v>0</v>
      </c>
      <c r="G33" s="16">
        <f>SUM(G34:G37)</f>
        <v>408.6</v>
      </c>
      <c r="H33" s="16">
        <f>SUM(H34:H37)</f>
        <v>50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50</v>
      </c>
      <c r="E35" s="11">
        <f t="shared" si="10"/>
        <v>50</v>
      </c>
      <c r="F35" s="17"/>
      <c r="G35" s="17"/>
      <c r="H35" s="17">
        <f>50</f>
        <v>50</v>
      </c>
      <c r="I35" s="11">
        <f t="shared" si="11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408.6</v>
      </c>
      <c r="E37" s="11">
        <f t="shared" si="10"/>
        <v>408.6</v>
      </c>
      <c r="F37" s="17"/>
      <c r="G37" s="17">
        <v>408.6</v>
      </c>
      <c r="H37" s="17"/>
      <c r="I37" s="11">
        <f t="shared" si="11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7"/>
      <c r="I38" s="11">
        <f t="shared" si="11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23.6</v>
      </c>
      <c r="E40" s="11">
        <f>F40+G40+H40</f>
        <v>23.6</v>
      </c>
      <c r="F40" s="17">
        <f>SUM(F41:F45)</f>
        <v>0</v>
      </c>
      <c r="G40" s="17">
        <f>SUM(G41:G46)</f>
        <v>0</v>
      </c>
      <c r="H40" s="17">
        <f>SUM(H41:H45)</f>
        <v>23.6</v>
      </c>
      <c r="I40" s="11">
        <f t="shared" si="11"/>
        <v>0</v>
      </c>
      <c r="J40" s="17">
        <f>SUM(J41:J46)</f>
        <v>0</v>
      </c>
      <c r="K40" s="17">
        <f>SUM(K41:K46)</f>
        <v>0</v>
      </c>
      <c r="L40" s="17">
        <f>SUM(L41:L46)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0</v>
      </c>
      <c r="E41" s="11">
        <f t="shared" si="10"/>
        <v>0</v>
      </c>
      <c r="F41" s="17"/>
      <c r="G41" s="17"/>
      <c r="H41" s="17"/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0</v>
      </c>
      <c r="E43" s="11">
        <f t="shared" si="10"/>
        <v>0</v>
      </c>
      <c r="F43" s="17"/>
      <c r="G43" s="17"/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23.6</v>
      </c>
      <c r="E44" s="11">
        <f t="shared" si="10"/>
        <v>23.6</v>
      </c>
      <c r="F44" s="17"/>
      <c r="G44" s="17"/>
      <c r="H44" s="17">
        <v>23.6</v>
      </c>
      <c r="I44" s="11">
        <f t="shared" si="11"/>
        <v>0</v>
      </c>
      <c r="J44" s="17"/>
      <c r="K44" s="17"/>
      <c r="L44" s="17"/>
    </row>
    <row r="45" spans="1:12" x14ac:dyDescent="0.2">
      <c r="A45" s="14" t="s">
        <v>86</v>
      </c>
      <c r="B45" s="19"/>
      <c r="C45" s="28"/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9"/>
        <v>0</v>
      </c>
      <c r="E46" s="11">
        <f t="shared" si="10"/>
        <v>0</v>
      </c>
      <c r="F46" s="17"/>
      <c r="G46" s="17"/>
      <c r="H46" s="17"/>
      <c r="I46" s="11">
        <f t="shared" si="11"/>
        <v>0</v>
      </c>
      <c r="J46" s="17"/>
      <c r="K46" s="17"/>
      <c r="L46" s="17"/>
    </row>
    <row r="47" spans="1:12" ht="25.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3"/>
      <c r="C55" s="33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2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2"/>
  <sheetViews>
    <sheetView workbookViewId="0">
      <pane xSplit="3" ySplit="5" topLeftCell="D24" activePane="bottomRight" state="frozen"/>
      <selection activeCell="G46" sqref="G46"/>
      <selection pane="topRight" activeCell="G46" sqref="G46"/>
      <selection pane="bottomLeft" activeCell="G46" sqref="G46"/>
      <selection pane="bottomRight" activeCell="I27" sqref="I27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90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19736.499999999996</v>
      </c>
      <c r="E6" s="11">
        <f>F6+G6+H6</f>
        <v>19736.499999999996</v>
      </c>
      <c r="F6" s="12">
        <f>F8+F14+F28+F29+F31+F46</f>
        <v>50.1</v>
      </c>
      <c r="G6" s="12">
        <f>G8+G14+G28+G29+G31</f>
        <v>16328.499999999996</v>
      </c>
      <c r="H6" s="12">
        <f>H8+H14+H28+H29+H31</f>
        <v>3357.8999999999996</v>
      </c>
      <c r="I6" s="12">
        <f>J6+K6+L6</f>
        <v>0</v>
      </c>
      <c r="J6" s="12">
        <f>SUM(J8+J14+J28+J29+J31)</f>
        <v>0</v>
      </c>
      <c r="K6" s="12"/>
      <c r="L6" s="12"/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15105.099999999999</v>
      </c>
      <c r="E8" s="11">
        <f>F8+G8+H8</f>
        <v>15105.099999999999</v>
      </c>
      <c r="F8" s="11">
        <f>F10+F11+F13</f>
        <v>50.1</v>
      </c>
      <c r="G8" s="11">
        <f>G10+G11+G13</f>
        <v>15054.999999999998</v>
      </c>
      <c r="H8" s="11">
        <f>H10+H11+H13</f>
        <v>0</v>
      </c>
      <c r="I8" s="11">
        <f>J8+K8+L8</f>
        <v>0</v>
      </c>
      <c r="J8" s="11">
        <f t="shared" ref="J8:L8" si="0">J10+J11+J13</f>
        <v>0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11869.699999999999</v>
      </c>
      <c r="E10" s="11">
        <f>F10+G10+H10</f>
        <v>11869.699999999999</v>
      </c>
      <c r="F10" s="19">
        <v>38.5</v>
      </c>
      <c r="G10" s="17">
        <f>11725.9+105.3</f>
        <v>11831.199999999999</v>
      </c>
      <c r="H10" s="17"/>
      <c r="I10" s="11">
        <f t="shared" ref="I10:I13" si="1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1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3235.3999999999996</v>
      </c>
      <c r="E13" s="11">
        <f>F13+G13+H13</f>
        <v>3235.3999999999996</v>
      </c>
      <c r="F13" s="19">
        <v>11.6</v>
      </c>
      <c r="G13" s="17">
        <f>3193.2+30.6</f>
        <v>3223.7999999999997</v>
      </c>
      <c r="H13" s="17"/>
      <c r="I13" s="11">
        <f t="shared" si="1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3825.4999999999995</v>
      </c>
      <c r="E14" s="11">
        <f>F14+G14+H14</f>
        <v>3825.4999999999995</v>
      </c>
      <c r="F14" s="23">
        <f>F16+F18+F19+F20+F21+F25</f>
        <v>0</v>
      </c>
      <c r="G14" s="23">
        <f>G16+G18+G19+G20+G21+G25</f>
        <v>730.4</v>
      </c>
      <c r="H14" s="23">
        <f t="shared" ref="H14" si="4">H16+H18+H19+H20+H21+H25</f>
        <v>3095.0999999999995</v>
      </c>
      <c r="I14" s="11">
        <f>J14+K14+L14</f>
        <v>0</v>
      </c>
      <c r="J14" s="23">
        <f>#N/A</f>
        <v>0</v>
      </c>
      <c r="K14" s="23">
        <f>#N/A</f>
        <v>0</v>
      </c>
      <c r="L14" s="23">
        <f>#N/A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54.8</v>
      </c>
      <c r="E16" s="11">
        <f>F16+G16+H16</f>
        <v>54.8</v>
      </c>
      <c r="F16" s="19"/>
      <c r="G16" s="17">
        <v>18.899999999999999</v>
      </c>
      <c r="H16" s="17">
        <f>23.4+12.5</f>
        <v>35.9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1720.2</v>
      </c>
      <c r="E18" s="11">
        <f t="shared" ref="E18:E27" si="7">F18+G18+H18</f>
        <v>1720.2</v>
      </c>
      <c r="F18" s="19"/>
      <c r="G18" s="17">
        <v>329</v>
      </c>
      <c r="H18" s="17">
        <v>1391.2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1233.0999999999999</v>
      </c>
      <c r="E19" s="11">
        <f t="shared" si="7"/>
        <v>1233.0999999999999</v>
      </c>
      <c r="F19" s="19"/>
      <c r="G19" s="17"/>
      <c r="H19" s="17">
        <f>118.3+203.9+910.9</f>
        <v>1233.0999999999999</v>
      </c>
      <c r="I19" s="11">
        <f t="shared" si="6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63.2</v>
      </c>
      <c r="E21" s="11">
        <f t="shared" si="7"/>
        <v>63.2</v>
      </c>
      <c r="F21" s="21">
        <f>F22+F23+F24</f>
        <v>0</v>
      </c>
      <c r="G21" s="21">
        <f t="shared" ref="G21:H21" si="8">G22+G23+G24</f>
        <v>0</v>
      </c>
      <c r="H21" s="21">
        <f t="shared" si="8"/>
        <v>63.2</v>
      </c>
      <c r="I21" s="11">
        <f t="shared" si="6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63.2</v>
      </c>
      <c r="E22" s="11">
        <f t="shared" si="7"/>
        <v>63.2</v>
      </c>
      <c r="F22" s="19"/>
      <c r="G22" s="17"/>
      <c r="H22" s="17">
        <v>63.2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0</v>
      </c>
      <c r="E23" s="11">
        <f t="shared" si="7"/>
        <v>0</v>
      </c>
      <c r="F23" s="19"/>
      <c r="G23" s="17"/>
      <c r="H23" s="17"/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754.2</v>
      </c>
      <c r="E25" s="11">
        <f t="shared" si="7"/>
        <v>754.2</v>
      </c>
      <c r="F25" s="19"/>
      <c r="G25" s="17">
        <v>382.5</v>
      </c>
      <c r="H25" s="17">
        <f>371.7</f>
        <v>371.7</v>
      </c>
      <c r="I25" s="11">
        <f t="shared" si="6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100.9</v>
      </c>
      <c r="E26" s="11">
        <f t="shared" si="7"/>
        <v>100.9</v>
      </c>
      <c r="F26" s="19"/>
      <c r="G26" s="17"/>
      <c r="H26" s="17">
        <v>100.9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150.60000000000002</v>
      </c>
      <c r="E28" s="35">
        <f>F28+G28+H28</f>
        <v>150.60000000000002</v>
      </c>
      <c r="F28" s="36"/>
      <c r="G28" s="37">
        <v>136.30000000000001</v>
      </c>
      <c r="H28" s="37">
        <v>14.3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168.5</v>
      </c>
      <c r="E29" s="35">
        <f>F29+G29+H29</f>
        <v>168.5</v>
      </c>
      <c r="F29" s="36"/>
      <c r="G29" s="37"/>
      <c r="H29" s="37">
        <f>108.9+59.6</f>
        <v>168.5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494.8</v>
      </c>
      <c r="E31" s="35">
        <f>F31+G31+H31</f>
        <v>486.8</v>
      </c>
      <c r="F31" s="11">
        <f>SUM(F33+F38+F39+F40)</f>
        <v>0</v>
      </c>
      <c r="G31" s="11">
        <f>G33+G38+G39+G40</f>
        <v>406.8</v>
      </c>
      <c r="H31" s="11">
        <f>SUM(H33+H38+H39+H40)</f>
        <v>80</v>
      </c>
      <c r="I31" s="11">
        <f>J31+K31+L31</f>
        <v>8</v>
      </c>
      <c r="J31" s="11">
        <f>J33+J38+J40</f>
        <v>0</v>
      </c>
      <c r="K31" s="11">
        <f>K33+K38+K40</f>
        <v>0</v>
      </c>
      <c r="L31" s="11">
        <f>L33+L38+L40</f>
        <v>8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443.90000000000003</v>
      </c>
      <c r="E33" s="11">
        <f>F33+G33+H33</f>
        <v>443.90000000000003</v>
      </c>
      <c r="F33" s="16">
        <f>SUM(F34:F37)</f>
        <v>0</v>
      </c>
      <c r="G33" s="16">
        <f>SUM(G34:G37)</f>
        <v>406.8</v>
      </c>
      <c r="H33" s="16">
        <f>SUM(H34:H37)</f>
        <v>37.1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37.1</v>
      </c>
      <c r="E35" s="11">
        <f t="shared" si="10"/>
        <v>37.1</v>
      </c>
      <c r="F35" s="17"/>
      <c r="G35" s="17"/>
      <c r="H35" s="17">
        <v>37.1</v>
      </c>
      <c r="I35" s="11">
        <f t="shared" si="11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406.8</v>
      </c>
      <c r="E37" s="11">
        <f t="shared" si="10"/>
        <v>406.8</v>
      </c>
      <c r="F37" s="17"/>
      <c r="G37" s="17">
        <v>406.8</v>
      </c>
      <c r="H37" s="17"/>
      <c r="I37" s="11">
        <f t="shared" si="11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7"/>
      <c r="I38" s="11">
        <f t="shared" si="11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50.9</v>
      </c>
      <c r="E40" s="11">
        <f>F40+G40+H40</f>
        <v>42.9</v>
      </c>
      <c r="F40" s="17">
        <f t="shared" ref="F40:G40" si="12">SUM(F41:F46)</f>
        <v>0</v>
      </c>
      <c r="G40" s="17">
        <f t="shared" si="12"/>
        <v>0</v>
      </c>
      <c r="H40" s="17">
        <f>SUM(H41:H46)</f>
        <v>42.9</v>
      </c>
      <c r="I40" s="11">
        <f t="shared" si="11"/>
        <v>8</v>
      </c>
      <c r="J40" s="17">
        <f>SUM(J41:J46)</f>
        <v>0</v>
      </c>
      <c r="K40" s="17">
        <f>SUM(K41:K46)</f>
        <v>0</v>
      </c>
      <c r="L40" s="17">
        <f>SUM(L41:L46)</f>
        <v>8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0</v>
      </c>
      <c r="E41" s="11">
        <f t="shared" si="10"/>
        <v>0</v>
      </c>
      <c r="F41" s="17"/>
      <c r="G41" s="17"/>
      <c r="H41" s="17"/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0</v>
      </c>
      <c r="E43" s="11">
        <f t="shared" si="10"/>
        <v>0</v>
      </c>
      <c r="F43" s="17"/>
      <c r="G43" s="17"/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50.9</v>
      </c>
      <c r="E44" s="11">
        <f t="shared" si="10"/>
        <v>42.9</v>
      </c>
      <c r="F44" s="17"/>
      <c r="G44" s="17"/>
      <c r="H44" s="17">
        <v>42.9</v>
      </c>
      <c r="I44" s="11">
        <f t="shared" si="11"/>
        <v>8</v>
      </c>
      <c r="J44" s="17"/>
      <c r="K44" s="17"/>
      <c r="L44" s="17">
        <v>8</v>
      </c>
    </row>
    <row r="45" spans="1:12" x14ac:dyDescent="0.2">
      <c r="A45" s="14" t="s">
        <v>86</v>
      </c>
      <c r="B45" s="19"/>
      <c r="C45" s="28"/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9"/>
        <v>0</v>
      </c>
      <c r="E46" s="11">
        <f t="shared" si="10"/>
        <v>0</v>
      </c>
      <c r="F46" s="17"/>
      <c r="G46" s="17"/>
      <c r="H46" s="17"/>
      <c r="I46" s="11">
        <f t="shared" si="11"/>
        <v>0</v>
      </c>
      <c r="J46" s="17"/>
      <c r="K46" s="17"/>
      <c r="L46" s="17"/>
    </row>
    <row r="47" spans="1:12" ht="25.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3"/>
      <c r="C55" s="33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2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2"/>
  <sheetViews>
    <sheetView workbookViewId="0">
      <pane xSplit="3" ySplit="5" topLeftCell="D18" activePane="bottomRight" state="frozen"/>
      <selection activeCell="G46" sqref="G46"/>
      <selection pane="topRight" activeCell="G46" sqref="G46"/>
      <selection pane="bottomLeft" activeCell="G46" sqref="G46"/>
      <selection pane="bottomRight" activeCell="F31" sqref="F31:H31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94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18818.3</v>
      </c>
      <c r="E6" s="11">
        <f>F6+G6+H6</f>
        <v>18808.8</v>
      </c>
      <c r="F6" s="12">
        <f>F8+F14+F28+F29+F31+F46</f>
        <v>36.299999999999997</v>
      </c>
      <c r="G6" s="12">
        <f>G8+G14+G28+G29+G31</f>
        <v>16174.599999999999</v>
      </c>
      <c r="H6" s="12">
        <f>H8+H14+H28+H29+H31</f>
        <v>2597.9</v>
      </c>
      <c r="I6" s="12">
        <f>J6+K6+L6</f>
        <v>9.5</v>
      </c>
      <c r="J6" s="12">
        <f>SUM(J8+J14+J28+J29+J31)</f>
        <v>9.5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15092.199999999999</v>
      </c>
      <c r="E8" s="11">
        <f>F8+G8+H8</f>
        <v>15092.199999999999</v>
      </c>
      <c r="F8" s="11">
        <f>F10+F11+F13</f>
        <v>36.299999999999997</v>
      </c>
      <c r="G8" s="11">
        <f>G10+G11+G13</f>
        <v>14582.699999999999</v>
      </c>
      <c r="H8" s="11">
        <f>H10+H11+H13</f>
        <v>473.2</v>
      </c>
      <c r="I8" s="11">
        <f>J8+K8+L8</f>
        <v>0</v>
      </c>
      <c r="J8" s="11">
        <f t="shared" ref="J8:L8" si="0">J10+J11+J13</f>
        <v>0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11940.8</v>
      </c>
      <c r="E10" s="11">
        <f>F10+G10+H10</f>
        <v>11940.8</v>
      </c>
      <c r="F10" s="19">
        <v>27.9</v>
      </c>
      <c r="G10" s="17">
        <f>11433.8+105.9</f>
        <v>11539.699999999999</v>
      </c>
      <c r="H10" s="17">
        <v>373.2</v>
      </c>
      <c r="I10" s="11">
        <f t="shared" ref="I10:I13" si="1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9"/>
      <c r="H11" s="17"/>
      <c r="I11" s="11">
        <f t="shared" si="1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3151.4</v>
      </c>
      <c r="E13" s="11">
        <f>F13+G13+H13</f>
        <v>3151.4</v>
      </c>
      <c r="F13" s="19">
        <v>8.4</v>
      </c>
      <c r="G13" s="17">
        <f>3012.1+30.9</f>
        <v>3043</v>
      </c>
      <c r="H13" s="17">
        <v>100</v>
      </c>
      <c r="I13" s="11">
        <f t="shared" si="1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3187.8</v>
      </c>
      <c r="E14" s="11">
        <f>F14+G14+H14</f>
        <v>3187.8</v>
      </c>
      <c r="F14" s="23">
        <f>F16+F18+F19+F20+F21+F25</f>
        <v>0</v>
      </c>
      <c r="G14" s="23">
        <f t="shared" ref="G14:H14" si="4">G16+G18+G19+G20+G21+G25</f>
        <v>1197.4000000000001</v>
      </c>
      <c r="H14" s="23">
        <f t="shared" si="4"/>
        <v>1990.4</v>
      </c>
      <c r="I14" s="11">
        <f>J14+K14+L14</f>
        <v>0</v>
      </c>
      <c r="J14" s="23">
        <f>#N/A</f>
        <v>0</v>
      </c>
      <c r="K14" s="23">
        <f>#N/A</f>
        <v>0</v>
      </c>
      <c r="L14" s="23">
        <f>#N/A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54.3</v>
      </c>
      <c r="E16" s="11">
        <f>F16+G16+H16</f>
        <v>54.3</v>
      </c>
      <c r="F16" s="19"/>
      <c r="G16" s="17">
        <v>19</v>
      </c>
      <c r="H16" s="17">
        <f>22.8+12.5</f>
        <v>35.299999999999997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9.1999999999999993</v>
      </c>
      <c r="E18" s="11">
        <f t="shared" ref="E18:E27" si="7">F18+G18+H18</f>
        <v>9.1999999999999993</v>
      </c>
      <c r="F18" s="19"/>
      <c r="G18" s="17"/>
      <c r="H18" s="17">
        <v>9.1999999999999993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1355.7</v>
      </c>
      <c r="E19" s="11">
        <f t="shared" si="7"/>
        <v>1355.7</v>
      </c>
      <c r="F19" s="19"/>
      <c r="G19" s="17"/>
      <c r="H19" s="17">
        <f>31+176.7+1148</f>
        <v>1355.7</v>
      </c>
      <c r="I19" s="11">
        <f t="shared" si="6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903.4</v>
      </c>
      <c r="E21" s="11">
        <f t="shared" si="7"/>
        <v>903.4</v>
      </c>
      <c r="F21" s="21">
        <f>F22+F23+F24</f>
        <v>0</v>
      </c>
      <c r="G21" s="21">
        <f t="shared" ref="G21:H21" si="8">G22+G23+G24</f>
        <v>700</v>
      </c>
      <c r="H21" s="21">
        <f t="shared" si="8"/>
        <v>203.4</v>
      </c>
      <c r="I21" s="11">
        <f t="shared" si="6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103.5</v>
      </c>
      <c r="E22" s="11">
        <f t="shared" si="7"/>
        <v>103.5</v>
      </c>
      <c r="F22" s="19"/>
      <c r="G22" s="17"/>
      <c r="H22" s="17">
        <v>103.5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799.9</v>
      </c>
      <c r="E23" s="11">
        <f t="shared" si="7"/>
        <v>799.9</v>
      </c>
      <c r="F23" s="19"/>
      <c r="G23" s="17">
        <v>700</v>
      </c>
      <c r="H23" s="17">
        <v>99.9</v>
      </c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865.19999999999993</v>
      </c>
      <c r="E25" s="11">
        <f t="shared" si="7"/>
        <v>865.19999999999993</v>
      </c>
      <c r="F25" s="19"/>
      <c r="G25" s="17">
        <f>383.9+94.5</f>
        <v>478.4</v>
      </c>
      <c r="H25" s="17">
        <f>264.9+67+54.9</f>
        <v>386.79999999999995</v>
      </c>
      <c r="I25" s="11">
        <f t="shared" si="6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30.5</v>
      </c>
      <c r="E26" s="11">
        <f t="shared" si="7"/>
        <v>30.5</v>
      </c>
      <c r="F26" s="19"/>
      <c r="G26" s="17"/>
      <c r="H26" s="17">
        <v>30.5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88.9</v>
      </c>
      <c r="E28" s="35">
        <f>F28+G28+H28</f>
        <v>88.9</v>
      </c>
      <c r="F28" s="36"/>
      <c r="G28" s="37">
        <v>56.4</v>
      </c>
      <c r="H28" s="37">
        <v>32.5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40.799999999999997</v>
      </c>
      <c r="E29" s="35">
        <f>F29+G29+H29</f>
        <v>40.799999999999997</v>
      </c>
      <c r="F29" s="36"/>
      <c r="G29" s="37"/>
      <c r="H29" s="37">
        <v>40.799999999999997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408.6</v>
      </c>
      <c r="E31" s="35">
        <f>F31+G31+H31</f>
        <v>399.1</v>
      </c>
      <c r="F31" s="11">
        <f>SUM(F33+F38+F39+F40)</f>
        <v>0</v>
      </c>
      <c r="G31" s="11">
        <f>G33+G38+G39+G40</f>
        <v>338.1</v>
      </c>
      <c r="H31" s="11">
        <f>SUM(H33+H38+H39+H40)</f>
        <v>61</v>
      </c>
      <c r="I31" s="11">
        <f>J31+K31+L31</f>
        <v>9.5</v>
      </c>
      <c r="J31" s="11">
        <f>J33+J38+J40</f>
        <v>9.5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355.6</v>
      </c>
      <c r="E33" s="11">
        <f>F33+G33+H33</f>
        <v>355.6</v>
      </c>
      <c r="F33" s="16">
        <f>SUM(F34:F37)</f>
        <v>0</v>
      </c>
      <c r="G33" s="16">
        <f>SUM(G34:G37)</f>
        <v>338.1</v>
      </c>
      <c r="H33" s="16">
        <f>SUM(H34:H37)</f>
        <v>17.5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17.5</v>
      </c>
      <c r="E35" s="11">
        <f t="shared" si="10"/>
        <v>17.5</v>
      </c>
      <c r="F35" s="17"/>
      <c r="G35" s="17"/>
      <c r="H35" s="17">
        <v>17.5</v>
      </c>
      <c r="I35" s="11">
        <f t="shared" si="11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338.1</v>
      </c>
      <c r="E37" s="11">
        <f t="shared" si="10"/>
        <v>338.1</v>
      </c>
      <c r="F37" s="17"/>
      <c r="G37" s="17">
        <v>338.1</v>
      </c>
      <c r="H37" s="17"/>
      <c r="I37" s="11">
        <f t="shared" si="11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7"/>
      <c r="I38" s="11">
        <f t="shared" si="11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53</v>
      </c>
      <c r="E40" s="11">
        <f>F40+G40+H40</f>
        <v>43.5</v>
      </c>
      <c r="F40" s="17">
        <f t="shared" ref="F40:G40" si="12">SUM(F41:F46)</f>
        <v>0</v>
      </c>
      <c r="G40" s="17">
        <f t="shared" si="12"/>
        <v>0</v>
      </c>
      <c r="H40" s="17">
        <f>SUM(H41:H46)</f>
        <v>43.5</v>
      </c>
      <c r="I40" s="11">
        <f t="shared" si="11"/>
        <v>9.5</v>
      </c>
      <c r="J40" s="17">
        <f>SUM(J41:J46)</f>
        <v>9.5</v>
      </c>
      <c r="K40" s="17">
        <f>SUM(K41:K46)</f>
        <v>0</v>
      </c>
      <c r="L40" s="17">
        <f>SUM(L41:L46)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7.6</v>
      </c>
      <c r="E41" s="11">
        <f t="shared" si="10"/>
        <v>7.6</v>
      </c>
      <c r="F41" s="17"/>
      <c r="G41" s="17"/>
      <c r="H41" s="17">
        <v>7.6</v>
      </c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0</v>
      </c>
      <c r="E43" s="11">
        <f t="shared" si="10"/>
        <v>0</v>
      </c>
      <c r="F43" s="17"/>
      <c r="G43" s="17"/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45.4</v>
      </c>
      <c r="E44" s="11">
        <f t="shared" si="10"/>
        <v>35.9</v>
      </c>
      <c r="F44" s="17"/>
      <c r="G44" s="17"/>
      <c r="H44" s="17">
        <v>35.9</v>
      </c>
      <c r="I44" s="11">
        <f t="shared" si="11"/>
        <v>9.5</v>
      </c>
      <c r="J44" s="17">
        <v>9.5</v>
      </c>
      <c r="K44" s="17"/>
      <c r="L44" s="17"/>
    </row>
    <row r="45" spans="1:12" x14ac:dyDescent="0.2">
      <c r="A45" s="14" t="s">
        <v>86</v>
      </c>
      <c r="B45" s="19">
        <v>3403</v>
      </c>
      <c r="C45" s="28"/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9"/>
        <v>0</v>
      </c>
      <c r="E46" s="11">
        <f t="shared" si="10"/>
        <v>0</v>
      </c>
      <c r="F46" s="17"/>
      <c r="G46" s="17"/>
      <c r="H46" s="17"/>
      <c r="I46" s="11">
        <f t="shared" si="11"/>
        <v>0</v>
      </c>
      <c r="J46" s="17"/>
      <c r="K46" s="17"/>
      <c r="L46" s="17"/>
    </row>
    <row r="47" spans="1:12" ht="25.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3"/>
      <c r="C55" s="33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2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48"/>
  <sheetViews>
    <sheetView zoomScaleNormal="100" workbookViewId="0">
      <pane xSplit="3" ySplit="5" topLeftCell="D24" activePane="bottomRight" state="frozen"/>
      <selection activeCell="D36" sqref="D36"/>
      <selection pane="topRight" activeCell="D36" sqref="D36"/>
      <selection pane="bottomLeft" activeCell="D36" sqref="D36"/>
      <selection pane="bottomRight" activeCell="H28" sqref="H28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69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25577.600000000002</v>
      </c>
      <c r="E6" s="11">
        <f>F6+G6+H6</f>
        <v>25331.200000000001</v>
      </c>
      <c r="F6" s="12">
        <f>F8+F14+F28+F29+F31+F46</f>
        <v>251.2</v>
      </c>
      <c r="G6" s="12">
        <f>G8+G14+G28+G29+G31</f>
        <v>22827.4</v>
      </c>
      <c r="H6" s="12">
        <f>H8+H14+H28+H29+H31</f>
        <v>2252.6</v>
      </c>
      <c r="I6" s="12">
        <f>J6+K6+L6</f>
        <v>246.4</v>
      </c>
      <c r="J6" s="12">
        <f>J8+J14+J28+J29+J31</f>
        <v>246.4</v>
      </c>
      <c r="K6" s="12">
        <f>K8+K14+K28+K29+K31</f>
        <v>0</v>
      </c>
      <c r="L6" s="12">
        <f>L8+L14+L28+L29+L31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20791.699999999997</v>
      </c>
      <c r="E8" s="11">
        <f>F8+G8+H8</f>
        <v>20704.699999999997</v>
      </c>
      <c r="F8" s="11">
        <f>F10+F11+F13</f>
        <v>52.599999999999994</v>
      </c>
      <c r="G8" s="11">
        <f>G10+G11+G13</f>
        <v>20652.099999999999</v>
      </c>
      <c r="H8" s="11">
        <f>H10+H11+H13</f>
        <v>0</v>
      </c>
      <c r="I8" s="11">
        <f>J8+K8+L8</f>
        <v>87</v>
      </c>
      <c r="J8" s="11">
        <f>J10+J11+J13</f>
        <v>87</v>
      </c>
      <c r="K8" s="11">
        <f t="shared" ref="K8:L8" si="0">K10+K11+K13</f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16091.099999999999</v>
      </c>
      <c r="E10" s="11">
        <f>F10+G10+H10</f>
        <v>16024.3</v>
      </c>
      <c r="F10" s="19">
        <v>40.4</v>
      </c>
      <c r="G10" s="17">
        <f>15818.9+165</f>
        <v>15983.9</v>
      </c>
      <c r="H10" s="17"/>
      <c r="I10" s="11">
        <f t="shared" ref="I10:I13" si="1">J10+K10+L10</f>
        <v>66.8</v>
      </c>
      <c r="J10" s="29">
        <v>66.8</v>
      </c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1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4700.5999999999995</v>
      </c>
      <c r="E13" s="11">
        <f>F13+G13+H13</f>
        <v>4680.3999999999996</v>
      </c>
      <c r="F13" s="19">
        <v>12.2</v>
      </c>
      <c r="G13" s="17">
        <f>4622.4+45.8</f>
        <v>4668.2</v>
      </c>
      <c r="H13" s="17"/>
      <c r="I13" s="11">
        <f t="shared" si="1"/>
        <v>20.2</v>
      </c>
      <c r="J13" s="17">
        <v>20.2</v>
      </c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2864</v>
      </c>
      <c r="E14" s="11">
        <f>F14+G14+H14</f>
        <v>2726.7</v>
      </c>
      <c r="F14" s="23">
        <f>F16+F18+F19+F20+F21+F25</f>
        <v>0</v>
      </c>
      <c r="G14" s="23">
        <f>G16+G18+G19+G20+G21+G25</f>
        <v>1072</v>
      </c>
      <c r="H14" s="23">
        <f t="shared" ref="H14:L14" si="4">H16+H18+H19+H20+H21+H25</f>
        <v>1654.6999999999998</v>
      </c>
      <c r="I14" s="11">
        <f>J14+K14+L14</f>
        <v>137.30000000000001</v>
      </c>
      <c r="J14" s="23">
        <f>J16+J18+J19+J20+J21+J25</f>
        <v>137.30000000000001</v>
      </c>
      <c r="K14" s="23">
        <f t="shared" si="4"/>
        <v>0</v>
      </c>
      <c r="L14" s="23">
        <f t="shared" si="4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60.5</v>
      </c>
      <c r="E16" s="11">
        <f>F16+G16+H16</f>
        <v>60.5</v>
      </c>
      <c r="F16" s="19"/>
      <c r="G16" s="17">
        <v>17.5</v>
      </c>
      <c r="H16" s="17">
        <f>30.5+12.5</f>
        <v>43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1.8</v>
      </c>
      <c r="E18" s="11">
        <f t="shared" ref="E18:E27" si="7">F18+G18+H18</f>
        <v>1.8</v>
      </c>
      <c r="F18" s="19"/>
      <c r="G18" s="17"/>
      <c r="H18" s="17">
        <v>1.8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1078.9000000000001</v>
      </c>
      <c r="E19" s="11">
        <f t="shared" si="7"/>
        <v>1019.9</v>
      </c>
      <c r="F19" s="19"/>
      <c r="G19" s="17"/>
      <c r="H19" s="17">
        <f>21.6+113.4+884.9</f>
        <v>1019.9</v>
      </c>
      <c r="I19" s="11">
        <f t="shared" si="6"/>
        <v>59</v>
      </c>
      <c r="J19" s="17">
        <f>8+51</f>
        <v>59</v>
      </c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315.49999999999994</v>
      </c>
      <c r="E21" s="11">
        <f t="shared" si="7"/>
        <v>313.59999999999997</v>
      </c>
      <c r="F21" s="21">
        <f>F22+F23+F24</f>
        <v>0</v>
      </c>
      <c r="G21" s="21">
        <f t="shared" ref="G21:J21" si="8">G22+G23+G24</f>
        <v>0</v>
      </c>
      <c r="H21" s="21">
        <f t="shared" si="8"/>
        <v>313.59999999999997</v>
      </c>
      <c r="I21" s="11">
        <f t="shared" si="6"/>
        <v>1.9</v>
      </c>
      <c r="J21" s="21">
        <f t="shared" si="8"/>
        <v>1.9</v>
      </c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35.6</v>
      </c>
      <c r="E22" s="11">
        <f t="shared" si="7"/>
        <v>33.700000000000003</v>
      </c>
      <c r="F22" s="19"/>
      <c r="G22" s="17"/>
      <c r="H22" s="17">
        <v>33.700000000000003</v>
      </c>
      <c r="I22" s="11">
        <f t="shared" si="6"/>
        <v>1.9</v>
      </c>
      <c r="J22" s="17">
        <v>1.9</v>
      </c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279.89999999999998</v>
      </c>
      <c r="E23" s="11">
        <f t="shared" si="7"/>
        <v>279.89999999999998</v>
      </c>
      <c r="F23" s="19"/>
      <c r="G23" s="17"/>
      <c r="H23" s="17">
        <f>279.9</f>
        <v>279.89999999999998</v>
      </c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1407.3000000000002</v>
      </c>
      <c r="E25" s="11">
        <f t="shared" si="7"/>
        <v>1330.9</v>
      </c>
      <c r="F25" s="19"/>
      <c r="G25" s="17">
        <v>1054.5</v>
      </c>
      <c r="H25" s="17">
        <f>276.4</f>
        <v>276.39999999999998</v>
      </c>
      <c r="I25" s="11">
        <f t="shared" si="6"/>
        <v>76.400000000000006</v>
      </c>
      <c r="J25" s="17">
        <v>76.400000000000006</v>
      </c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60.2</v>
      </c>
      <c r="E26" s="11">
        <f t="shared" si="7"/>
        <v>60.2</v>
      </c>
      <c r="F26" s="19"/>
      <c r="G26" s="17"/>
      <c r="H26" s="17">
        <v>60.2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18.5</v>
      </c>
      <c r="E28" s="35">
        <f>F28+G28+H28</f>
        <v>18.5</v>
      </c>
      <c r="F28" s="36"/>
      <c r="G28" s="37">
        <v>2.9</v>
      </c>
      <c r="H28" s="37">
        <v>15.6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226.39999999999998</v>
      </c>
      <c r="E29" s="35">
        <f>F29+G29+H29</f>
        <v>225.2</v>
      </c>
      <c r="F29" s="36"/>
      <c r="G29" s="37"/>
      <c r="H29" s="37">
        <v>225.2</v>
      </c>
      <c r="I29" s="11">
        <f>J29+K29+L29</f>
        <v>1.2</v>
      </c>
      <c r="J29" s="25">
        <v>1.2</v>
      </c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1677</v>
      </c>
      <c r="E31" s="35">
        <f>F31+G31+H31</f>
        <v>1656.1</v>
      </c>
      <c r="F31" s="11">
        <f>SUM(F33+F38+F39+F40)</f>
        <v>198.6</v>
      </c>
      <c r="G31" s="11">
        <f>G33+G38+G39+G40</f>
        <v>1100.4000000000001</v>
      </c>
      <c r="H31" s="11">
        <f>SUM(H33+H38+H39+H40)</f>
        <v>357.09999999999997</v>
      </c>
      <c r="I31" s="11">
        <f>J31+K31+L31</f>
        <v>20.9</v>
      </c>
      <c r="J31" s="11">
        <f t="shared" ref="J31:L31" si="9">J33+J38+J39+J40</f>
        <v>20.9</v>
      </c>
      <c r="K31" s="11">
        <f t="shared" si="9"/>
        <v>0</v>
      </c>
      <c r="L31" s="11">
        <f t="shared" si="9"/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1606.4</v>
      </c>
      <c r="E33" s="11">
        <f>F33+G33+H33</f>
        <v>1606.4</v>
      </c>
      <c r="F33" s="16">
        <f>SUM(F35:F37)</f>
        <v>198.6</v>
      </c>
      <c r="G33" s="16">
        <f>SUM(G35:G37)</f>
        <v>1100.4000000000001</v>
      </c>
      <c r="H33" s="16">
        <f>SUM(H35:H36)</f>
        <v>307.39999999999998</v>
      </c>
      <c r="I33" s="11">
        <f>J33+K33+L33</f>
        <v>0</v>
      </c>
      <c r="J33" s="16">
        <f t="shared" ref="J33:L33" si="10">SUM(J35:J36)</f>
        <v>0</v>
      </c>
      <c r="K33" s="16">
        <f t="shared" si="10"/>
        <v>0</v>
      </c>
      <c r="L33" s="16">
        <f t="shared" si="10"/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1">E34+I34</f>
        <v>0</v>
      </c>
      <c r="E34" s="11">
        <f t="shared" ref="E34:E46" si="12">F34+G34+H34</f>
        <v>0</v>
      </c>
      <c r="F34" s="17"/>
      <c r="G34" s="17"/>
      <c r="H34" s="17"/>
      <c r="I34" s="11">
        <f t="shared" ref="I34:I46" si="13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1"/>
        <v>806</v>
      </c>
      <c r="E35" s="11">
        <f t="shared" si="12"/>
        <v>806</v>
      </c>
      <c r="F35" s="17">
        <v>198.6</v>
      </c>
      <c r="G35" s="17">
        <v>300</v>
      </c>
      <c r="H35" s="17">
        <f>150+157.4</f>
        <v>307.39999999999998</v>
      </c>
      <c r="I35" s="11">
        <f t="shared" si="13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1"/>
        <v>0</v>
      </c>
      <c r="E36" s="11">
        <f t="shared" si="12"/>
        <v>0</v>
      </c>
      <c r="F36" s="17"/>
      <c r="G36" s="17"/>
      <c r="H36" s="17"/>
      <c r="I36" s="11">
        <f t="shared" si="13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1"/>
        <v>800.4</v>
      </c>
      <c r="E37" s="11">
        <f t="shared" si="12"/>
        <v>800.4</v>
      </c>
      <c r="F37" s="17"/>
      <c r="G37" s="17">
        <v>800.4</v>
      </c>
      <c r="H37" s="17"/>
      <c r="I37" s="11">
        <f t="shared" si="13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11"/>
        <v>0</v>
      </c>
      <c r="E38" s="11">
        <f t="shared" si="12"/>
        <v>0</v>
      </c>
      <c r="F38" s="19"/>
      <c r="G38" s="17"/>
      <c r="H38" s="17"/>
      <c r="I38" s="11">
        <f t="shared" si="13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11"/>
        <v>0</v>
      </c>
      <c r="E39" s="11">
        <f t="shared" si="12"/>
        <v>0</v>
      </c>
      <c r="F39" s="17"/>
      <c r="G39" s="17"/>
      <c r="H39" s="17"/>
      <c r="I39" s="11">
        <f t="shared" si="13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70.599999999999994</v>
      </c>
      <c r="E40" s="11">
        <f>F40+G40+H40</f>
        <v>49.7</v>
      </c>
      <c r="F40" s="17">
        <f>SUM(F41:F45)</f>
        <v>0</v>
      </c>
      <c r="G40" s="17">
        <f>SUM(G41:G45)</f>
        <v>0</v>
      </c>
      <c r="H40" s="17">
        <f>SUM(H41:H45)</f>
        <v>49.7</v>
      </c>
      <c r="I40" s="11">
        <f t="shared" si="13"/>
        <v>20.9</v>
      </c>
      <c r="J40" s="17">
        <f>SUM(J41:J45)</f>
        <v>20.9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1"/>
        <v>0</v>
      </c>
      <c r="E41" s="11">
        <f t="shared" si="12"/>
        <v>0</v>
      </c>
      <c r="F41" s="17"/>
      <c r="G41" s="17"/>
      <c r="H41" s="17"/>
      <c r="I41" s="11">
        <f t="shared" si="13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1"/>
        <v>0</v>
      </c>
      <c r="E42" s="11">
        <f t="shared" si="12"/>
        <v>0</v>
      </c>
      <c r="F42" s="17"/>
      <c r="G42" s="17"/>
      <c r="H42" s="17"/>
      <c r="I42" s="11">
        <f t="shared" si="13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1"/>
        <v>0</v>
      </c>
      <c r="E43" s="11">
        <f t="shared" si="12"/>
        <v>0</v>
      </c>
      <c r="F43" s="17"/>
      <c r="G43" s="17"/>
      <c r="H43" s="17"/>
      <c r="I43" s="11">
        <f t="shared" si="13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70.599999999999994</v>
      </c>
      <c r="E44" s="11">
        <f t="shared" si="12"/>
        <v>49.7</v>
      </c>
      <c r="F44" s="17"/>
      <c r="G44" s="17"/>
      <c r="H44" s="17">
        <v>49.7</v>
      </c>
      <c r="I44" s="11">
        <f t="shared" si="13"/>
        <v>20.9</v>
      </c>
      <c r="J44" s="17">
        <v>20.9</v>
      </c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2"/>
        <v>0</v>
      </c>
      <c r="F45" s="17"/>
      <c r="G45" s="17"/>
      <c r="H45" s="17"/>
      <c r="I45" s="11">
        <f t="shared" si="13"/>
        <v>0</v>
      </c>
      <c r="J45" s="17"/>
      <c r="K45" s="17"/>
      <c r="L45" s="17"/>
    </row>
    <row r="46" spans="1:12" ht="38.25" x14ac:dyDescent="0.2">
      <c r="A46" s="25" t="s">
        <v>65</v>
      </c>
      <c r="B46" s="23" t="s">
        <v>66</v>
      </c>
      <c r="C46" s="23">
        <v>37</v>
      </c>
      <c r="D46" s="16">
        <f t="shared" si="11"/>
        <v>0</v>
      </c>
      <c r="E46" s="11">
        <f t="shared" si="12"/>
        <v>0</v>
      </c>
      <c r="F46" s="25"/>
      <c r="G46" s="25"/>
      <c r="H46" s="25"/>
      <c r="I46" s="11">
        <f t="shared" si="13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E3:H3"/>
    <mergeCell ref="I3:L3"/>
    <mergeCell ref="A3:A4"/>
    <mergeCell ref="B3:B4"/>
    <mergeCell ref="C3:C4"/>
    <mergeCell ref="D3:D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61" orientation="portrait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48"/>
  <sheetViews>
    <sheetView zoomScaleNormal="100" workbookViewId="0">
      <pane xSplit="3" ySplit="5" topLeftCell="D9" activePane="bottomRight" state="frozen"/>
      <selection activeCell="G46" sqref="G46"/>
      <selection pane="topRight" activeCell="G46" sqref="G46"/>
      <selection pane="bottomLeft" activeCell="G46" sqref="G46"/>
      <selection pane="bottomRight" activeCell="I27" sqref="I27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70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19738</v>
      </c>
      <c r="E6" s="11">
        <f>F6+G6+H6</f>
        <v>19711.7</v>
      </c>
      <c r="F6" s="12">
        <f>F8+F14+F28+F29+F31+F46</f>
        <v>38.299999999999997</v>
      </c>
      <c r="G6" s="12">
        <f>G8+G14+G28+G29+G31</f>
        <v>17087.2</v>
      </c>
      <c r="H6" s="12">
        <f>H8+H14+H28+H29+H31</f>
        <v>2586.2000000000003</v>
      </c>
      <c r="I6" s="11">
        <f>J6+K6+L6</f>
        <v>26.3</v>
      </c>
      <c r="J6" s="12">
        <f>J8+J14+J28+J29+J31+J46</f>
        <v>26.3</v>
      </c>
      <c r="K6" s="12">
        <f>K8+K14+K28+K29+K31</f>
        <v>0</v>
      </c>
      <c r="L6" s="12">
        <f>L8+L14+L28+L29+L31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15380.4</v>
      </c>
      <c r="E8" s="11">
        <f>F8+G8+H8</f>
        <v>15371.9</v>
      </c>
      <c r="F8" s="11">
        <f>F10+F11+F13</f>
        <v>38.299999999999997</v>
      </c>
      <c r="G8" s="11">
        <f>G10+G11+G13</f>
        <v>15321.6</v>
      </c>
      <c r="H8" s="11">
        <f>H10+H11+H13</f>
        <v>12</v>
      </c>
      <c r="I8" s="11">
        <f>J8+K8+L8</f>
        <v>8.5</v>
      </c>
      <c r="J8" s="11">
        <f t="shared" ref="J8:L8" si="0">J10+J11+J13</f>
        <v>8.5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11850.5</v>
      </c>
      <c r="E10" s="11">
        <f>F10+G10+H10</f>
        <v>11844</v>
      </c>
      <c r="F10" s="19">
        <v>29.4</v>
      </c>
      <c r="G10" s="17">
        <f>11700.2+114.4</f>
        <v>11814.6</v>
      </c>
      <c r="H10" s="17"/>
      <c r="I10" s="11">
        <f t="shared" ref="I10:I13" si="1">J10+K10+L10</f>
        <v>6.5</v>
      </c>
      <c r="J10" s="17">
        <v>6.5</v>
      </c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12</v>
      </c>
      <c r="E11" s="11">
        <f>F11+G11+H11</f>
        <v>12</v>
      </c>
      <c r="F11" s="19"/>
      <c r="G11" s="17"/>
      <c r="H11" s="17">
        <v>12</v>
      </c>
      <c r="I11" s="11">
        <f t="shared" si="1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3517.9</v>
      </c>
      <c r="E13" s="11">
        <f>F13+G13+H13</f>
        <v>3515.9</v>
      </c>
      <c r="F13" s="19">
        <v>8.9</v>
      </c>
      <c r="G13" s="17">
        <f>3472.5+34.5</f>
        <v>3507</v>
      </c>
      <c r="H13" s="17"/>
      <c r="I13" s="11">
        <f t="shared" si="1"/>
        <v>2</v>
      </c>
      <c r="J13" s="17">
        <v>2</v>
      </c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3434.2000000000003</v>
      </c>
      <c r="E14" s="11">
        <f>F14+G14+H14</f>
        <v>3416.4</v>
      </c>
      <c r="F14" s="23">
        <f>F16+F18+F19+F20+F21+F25</f>
        <v>0</v>
      </c>
      <c r="G14" s="23">
        <f t="shared" ref="G14:J14" si="4">G16+G18+G19+G20+G21+G25</f>
        <v>1131</v>
      </c>
      <c r="H14" s="23">
        <f t="shared" si="4"/>
        <v>2285.4</v>
      </c>
      <c r="I14" s="11">
        <f>J14+K14+L14</f>
        <v>17.8</v>
      </c>
      <c r="J14" s="23">
        <f t="shared" si="4"/>
        <v>17.8</v>
      </c>
      <c r="K14" s="23">
        <f>#N/A</f>
        <v>0</v>
      </c>
      <c r="L14" s="23">
        <f>#N/A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68.400000000000006</v>
      </c>
      <c r="E16" s="11">
        <f>F16+G16+H16</f>
        <v>68.400000000000006</v>
      </c>
      <c r="F16" s="19"/>
      <c r="G16" s="17">
        <v>17.5</v>
      </c>
      <c r="H16" s="17">
        <f>38.4+12.5</f>
        <v>50.9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8.6999999999999993</v>
      </c>
      <c r="E18" s="11">
        <f t="shared" ref="E18:E27" si="7">F18+G18+H18</f>
        <v>8.6999999999999993</v>
      </c>
      <c r="F18" s="19"/>
      <c r="G18" s="17"/>
      <c r="H18" s="17">
        <f>8.7</f>
        <v>8.6999999999999993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1417.2</v>
      </c>
      <c r="E19" s="11">
        <f t="shared" si="7"/>
        <v>1402.4</v>
      </c>
      <c r="F19" s="19"/>
      <c r="G19" s="17"/>
      <c r="H19" s="17">
        <f>19.6+111.4+1271.4</f>
        <v>1402.4</v>
      </c>
      <c r="I19" s="11">
        <f t="shared" si="6"/>
        <v>14.8</v>
      </c>
      <c r="J19" s="17">
        <f>7.7+7.1</f>
        <v>14.8</v>
      </c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744.3</v>
      </c>
      <c r="E21" s="11">
        <f t="shared" si="7"/>
        <v>744.3</v>
      </c>
      <c r="F21" s="21">
        <f>F22+F23+F24</f>
        <v>0</v>
      </c>
      <c r="G21" s="21">
        <f t="shared" ref="G21:H21" si="8">G22+G23+G24</f>
        <v>454.5</v>
      </c>
      <c r="H21" s="21">
        <f t="shared" si="8"/>
        <v>289.79999999999995</v>
      </c>
      <c r="I21" s="11">
        <f t="shared" si="6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87.5</v>
      </c>
      <c r="E22" s="11">
        <f t="shared" si="7"/>
        <v>87.5</v>
      </c>
      <c r="F22" s="19"/>
      <c r="G22" s="17"/>
      <c r="H22" s="17">
        <v>87.5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656.8</v>
      </c>
      <c r="E23" s="11">
        <f t="shared" si="7"/>
        <v>656.8</v>
      </c>
      <c r="F23" s="19"/>
      <c r="G23" s="17">
        <v>454.5</v>
      </c>
      <c r="H23" s="17">
        <f>2.7+199.6</f>
        <v>202.29999999999998</v>
      </c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1195.5999999999999</v>
      </c>
      <c r="E25" s="11">
        <f t="shared" si="7"/>
        <v>1192.5999999999999</v>
      </c>
      <c r="F25" s="19"/>
      <c r="G25" s="17">
        <f>659</f>
        <v>659</v>
      </c>
      <c r="H25" s="17">
        <f>388.4+81.1+64.1</f>
        <v>533.6</v>
      </c>
      <c r="I25" s="11">
        <f t="shared" si="6"/>
        <v>3</v>
      </c>
      <c r="J25" s="17">
        <v>3</v>
      </c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55.1</v>
      </c>
      <c r="E26" s="11">
        <f t="shared" si="7"/>
        <v>55.1</v>
      </c>
      <c r="F26" s="19"/>
      <c r="G26" s="17"/>
      <c r="H26" s="17">
        <v>55.1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18</v>
      </c>
      <c r="E28" s="35">
        <f>F28+G28+H28</f>
        <v>18</v>
      </c>
      <c r="F28" s="36"/>
      <c r="G28" s="37">
        <f>3.7</f>
        <v>3.7</v>
      </c>
      <c r="H28" s="37">
        <v>14.3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214.4</v>
      </c>
      <c r="E29" s="35">
        <f>F29+G29+H29</f>
        <v>214.4</v>
      </c>
      <c r="F29" s="36"/>
      <c r="G29" s="37"/>
      <c r="H29" s="37">
        <v>214.4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691</v>
      </c>
      <c r="E31" s="35">
        <f>F31+G31+H31</f>
        <v>691</v>
      </c>
      <c r="F31" s="11">
        <f>F33+F38+F39+F40</f>
        <v>0</v>
      </c>
      <c r="G31" s="11">
        <f>G33+G38+G39+G40</f>
        <v>630.9</v>
      </c>
      <c r="H31" s="11">
        <f>H33+H38+H39+H40</f>
        <v>60.1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>
        <f>#N/A</f>
        <v>0</v>
      </c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634.4</v>
      </c>
      <c r="E33" s="11">
        <f>F33+G33+H33</f>
        <v>634.4</v>
      </c>
      <c r="F33" s="16">
        <f>SUM(F35:F36)</f>
        <v>0</v>
      </c>
      <c r="G33" s="16">
        <f>SUM(G35:G36)</f>
        <v>630.9</v>
      </c>
      <c r="H33" s="16">
        <f>SUM(H35:H36)</f>
        <v>3.5</v>
      </c>
      <c r="I33" s="11">
        <f>J33+K33+L33</f>
        <v>0</v>
      </c>
      <c r="J33" s="16">
        <f t="shared" ref="J33:K33" si="9">J34+J35+J36</f>
        <v>0</v>
      </c>
      <c r="K33" s="16">
        <f t="shared" si="9"/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0">E34+I34</f>
        <v>0</v>
      </c>
      <c r="E34" s="11">
        <f t="shared" ref="E34:E46" si="11">F34+G34+H34</f>
        <v>0</v>
      </c>
      <c r="F34" s="17"/>
      <c r="G34" s="17"/>
      <c r="H34" s="17"/>
      <c r="I34" s="11">
        <f t="shared" ref="I34:I46" si="12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0"/>
        <v>634.4</v>
      </c>
      <c r="E35" s="11">
        <f t="shared" si="11"/>
        <v>634.4</v>
      </c>
      <c r="F35" s="17"/>
      <c r="G35" s="17">
        <v>630.9</v>
      </c>
      <c r="H35" s="17">
        <v>3.5</v>
      </c>
      <c r="I35" s="11">
        <f t="shared" si="12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0"/>
        <v>0</v>
      </c>
      <c r="E36" s="11">
        <f t="shared" si="11"/>
        <v>0</v>
      </c>
      <c r="F36" s="17"/>
      <c r="G36" s="17"/>
      <c r="H36" s="17"/>
      <c r="I36" s="11">
        <f t="shared" si="12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0"/>
        <v>0</v>
      </c>
      <c r="E37" s="11">
        <f t="shared" si="11"/>
        <v>0</v>
      </c>
      <c r="F37" s="17"/>
      <c r="G37" s="17"/>
      <c r="H37" s="17"/>
      <c r="I37" s="11">
        <f t="shared" si="12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10"/>
        <v>0</v>
      </c>
      <c r="E38" s="11">
        <f t="shared" si="11"/>
        <v>0</v>
      </c>
      <c r="F38" s="19"/>
      <c r="G38" s="17"/>
      <c r="H38" s="17"/>
      <c r="I38" s="11">
        <f t="shared" si="12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10"/>
        <v>0</v>
      </c>
      <c r="E39" s="11">
        <f t="shared" si="11"/>
        <v>0</v>
      </c>
      <c r="F39" s="17"/>
      <c r="G39" s="17"/>
      <c r="H39" s="17"/>
      <c r="I39" s="11">
        <f t="shared" si="12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56.6</v>
      </c>
      <c r="E40" s="11">
        <f>F40+G40+H40</f>
        <v>56.6</v>
      </c>
      <c r="F40" s="17">
        <f>SUM(F41:F45)</f>
        <v>0</v>
      </c>
      <c r="G40" s="17">
        <f>SUM(G41:G45)</f>
        <v>0</v>
      </c>
      <c r="H40" s="17">
        <f>SUM(H41:H45)</f>
        <v>56.6</v>
      </c>
      <c r="I40" s="11">
        <f t="shared" si="12"/>
        <v>0</v>
      </c>
      <c r="J40" s="17">
        <f>SUM(J41:J45)</f>
        <v>0</v>
      </c>
      <c r="K40" s="17">
        <f>SUM(K41:K45)</f>
        <v>0</v>
      </c>
      <c r="L40" s="17"/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0"/>
        <v>0</v>
      </c>
      <c r="E41" s="11">
        <f t="shared" si="11"/>
        <v>0</v>
      </c>
      <c r="F41" s="17"/>
      <c r="G41" s="17"/>
      <c r="H41" s="17"/>
      <c r="I41" s="11">
        <f t="shared" si="12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0"/>
        <v>0</v>
      </c>
      <c r="E42" s="11">
        <f t="shared" si="11"/>
        <v>0</v>
      </c>
      <c r="F42" s="17"/>
      <c r="G42" s="17"/>
      <c r="H42" s="17"/>
      <c r="I42" s="11">
        <f t="shared" si="12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0"/>
        <v>0</v>
      </c>
      <c r="E43" s="11">
        <f t="shared" si="11"/>
        <v>0</v>
      </c>
      <c r="F43" s="17"/>
      <c r="G43" s="17"/>
      <c r="H43" s="17"/>
      <c r="I43" s="11">
        <f t="shared" si="12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56.6</v>
      </c>
      <c r="E44" s="11">
        <f t="shared" si="11"/>
        <v>56.6</v>
      </c>
      <c r="F44" s="17"/>
      <c r="G44" s="17"/>
      <c r="H44" s="17">
        <v>56.6</v>
      </c>
      <c r="I44" s="11">
        <f t="shared" si="12"/>
        <v>0</v>
      </c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1"/>
        <v>0</v>
      </c>
      <c r="F45" s="17"/>
      <c r="G45" s="17"/>
      <c r="H45" s="17"/>
      <c r="I45" s="11">
        <f t="shared" si="12"/>
        <v>0</v>
      </c>
      <c r="J45" s="17"/>
      <c r="K45" s="17"/>
      <c r="L45" s="17"/>
    </row>
    <row r="46" spans="1:12" ht="38.25" x14ac:dyDescent="0.2">
      <c r="A46" s="25" t="s">
        <v>65</v>
      </c>
      <c r="B46" s="23" t="s">
        <v>66</v>
      </c>
      <c r="C46" s="23">
        <v>37</v>
      </c>
      <c r="D46" s="16">
        <f t="shared" si="10"/>
        <v>0</v>
      </c>
      <c r="E46" s="11">
        <f t="shared" si="11"/>
        <v>0</v>
      </c>
      <c r="F46" s="25"/>
      <c r="G46" s="25"/>
      <c r="H46" s="25"/>
      <c r="I46" s="11">
        <f t="shared" si="12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E3:H3"/>
    <mergeCell ref="I3:L3"/>
    <mergeCell ref="A3:A4"/>
    <mergeCell ref="B3:B4"/>
    <mergeCell ref="C3:C4"/>
    <mergeCell ref="D3:D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3" orientation="portrait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48"/>
  <sheetViews>
    <sheetView zoomScaleNormal="100" workbookViewId="0">
      <pane ySplit="4" topLeftCell="A8" activePane="bottomLeft" state="frozen"/>
      <selection activeCell="G46" sqref="G46"/>
      <selection pane="bottomLeft" activeCell="H13" sqref="H13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71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23760.700000000004</v>
      </c>
      <c r="E6" s="11">
        <f>F6+G6+H6</f>
        <v>23760.700000000004</v>
      </c>
      <c r="F6" s="12">
        <f>F8+F14+F28+F29+F31+F46</f>
        <v>208.4</v>
      </c>
      <c r="G6" s="12">
        <f>G8+G14+G28+G29+G31</f>
        <v>21878.800000000003</v>
      </c>
      <c r="H6" s="12">
        <f>H8+H14+H28+H29+H31</f>
        <v>1673.5</v>
      </c>
      <c r="I6" s="12">
        <f>J6+K6+L6</f>
        <v>0</v>
      </c>
      <c r="J6" s="12">
        <f>SUM(J8+J14+J28+J29+J31)</f>
        <v>0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20207.599999999999</v>
      </c>
      <c r="E8" s="11">
        <f>F8+G8+H8</f>
        <v>20207.599999999999</v>
      </c>
      <c r="F8" s="11">
        <f>SUM(F10:F13)</f>
        <v>61.599999999999994</v>
      </c>
      <c r="G8" s="11">
        <f>G10+G11+G13</f>
        <v>20146</v>
      </c>
      <c r="H8" s="11">
        <f t="shared" ref="H8" si="0">SUM(H10:H13)</f>
        <v>0</v>
      </c>
      <c r="I8" s="11">
        <f>J8+K8+L8</f>
        <v>0</v>
      </c>
      <c r="J8" s="11">
        <f>SUM(J10:J13)</f>
        <v>0</v>
      </c>
      <c r="K8" s="11">
        <f t="shared" ref="K8:L8" si="1">SUM(K10:K13)</f>
        <v>0</v>
      </c>
      <c r="L8" s="11">
        <f t="shared" si="1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15565.099999999999</v>
      </c>
      <c r="E10" s="11">
        <f>F10+G10+H10</f>
        <v>15565.099999999999</v>
      </c>
      <c r="F10" s="19">
        <v>47.3</v>
      </c>
      <c r="G10" s="17">
        <f>15373.3+144.5</f>
        <v>15517.8</v>
      </c>
      <c r="H10" s="17"/>
      <c r="I10" s="11">
        <f t="shared" ref="I10:I13" si="2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2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3">E12+I12</f>
        <v>0</v>
      </c>
      <c r="E12" s="11">
        <f t="shared" ref="E12" si="4">F12+G12+H12</f>
        <v>0</v>
      </c>
      <c r="F12" s="19"/>
      <c r="G12" s="17"/>
      <c r="H12" s="17"/>
      <c r="I12" s="11">
        <f t="shared" si="2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3"/>
        <v>4642.5</v>
      </c>
      <c r="E13" s="11">
        <f>F13+G13+H13</f>
        <v>4642.5</v>
      </c>
      <c r="F13" s="19">
        <v>14.3</v>
      </c>
      <c r="G13" s="17">
        <f>4585.7+42.5</f>
        <v>4628.2</v>
      </c>
      <c r="H13" s="17"/>
      <c r="I13" s="11">
        <f t="shared" si="2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2406.8000000000002</v>
      </c>
      <c r="E14" s="11">
        <f>F14+G14+H14</f>
        <v>2406.8000000000002</v>
      </c>
      <c r="F14" s="23">
        <f>F16+F18+F19+F20+F21+F25</f>
        <v>0</v>
      </c>
      <c r="G14" s="23">
        <f t="shared" ref="G14:H14" si="5">G16+G18+G19+G20+G21+G25</f>
        <v>903.4</v>
      </c>
      <c r="H14" s="23">
        <f t="shared" si="5"/>
        <v>1503.4</v>
      </c>
      <c r="I14" s="11">
        <f>J14+K14+L14</f>
        <v>0</v>
      </c>
      <c r="J14" s="23">
        <f>#N/A</f>
        <v>0</v>
      </c>
      <c r="K14" s="23">
        <f>#N/A</f>
        <v>0</v>
      </c>
      <c r="L14" s="23">
        <f>#N/A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6">E16+I16</f>
        <v>54.5</v>
      </c>
      <c r="E16" s="11">
        <f>F16+G16+H16</f>
        <v>54.5</v>
      </c>
      <c r="F16" s="19"/>
      <c r="G16" s="17">
        <v>12.5</v>
      </c>
      <c r="H16" s="17">
        <f>29.5+12.5</f>
        <v>42</v>
      </c>
      <c r="I16" s="11">
        <f t="shared" ref="I16:I27" si="7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6"/>
        <v>0</v>
      </c>
      <c r="E17" s="11">
        <f>F17+G17+H17</f>
        <v>0</v>
      </c>
      <c r="F17" s="19"/>
      <c r="G17" s="17"/>
      <c r="H17" s="17"/>
      <c r="I17" s="11">
        <f t="shared" si="7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6"/>
        <v>2.9</v>
      </c>
      <c r="E18" s="11">
        <f t="shared" ref="E18:E27" si="8">F18+G18+H18</f>
        <v>2.9</v>
      </c>
      <c r="F18" s="19"/>
      <c r="G18" s="17"/>
      <c r="H18" s="17">
        <f>2.9</f>
        <v>2.9</v>
      </c>
      <c r="I18" s="11">
        <f t="shared" si="7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6"/>
        <v>1081.3</v>
      </c>
      <c r="E19" s="11">
        <f t="shared" si="8"/>
        <v>1081.3</v>
      </c>
      <c r="F19" s="19"/>
      <c r="G19" s="17"/>
      <c r="H19" s="17">
        <f>125+88.1+868.2</f>
        <v>1081.3</v>
      </c>
      <c r="I19" s="11">
        <f t="shared" si="7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6"/>
        <v>0</v>
      </c>
      <c r="E20" s="11">
        <f t="shared" si="8"/>
        <v>0</v>
      </c>
      <c r="F20" s="19"/>
      <c r="G20" s="17"/>
      <c r="H20" s="17"/>
      <c r="I20" s="11">
        <f t="shared" si="7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6"/>
        <v>36.1</v>
      </c>
      <c r="E21" s="11">
        <f t="shared" si="8"/>
        <v>36.1</v>
      </c>
      <c r="F21" s="21">
        <f>F22+F23+F24</f>
        <v>0</v>
      </c>
      <c r="G21" s="21">
        <f t="shared" ref="G21:H21" si="9">G22+G23+G24</f>
        <v>0</v>
      </c>
      <c r="H21" s="21">
        <f t="shared" si="9"/>
        <v>36.1</v>
      </c>
      <c r="I21" s="11">
        <f t="shared" si="7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6"/>
        <v>36.1</v>
      </c>
      <c r="E22" s="11">
        <f t="shared" si="8"/>
        <v>36.1</v>
      </c>
      <c r="F22" s="19"/>
      <c r="G22" s="17"/>
      <c r="H22" s="17">
        <f>36.1</f>
        <v>36.1</v>
      </c>
      <c r="I22" s="11">
        <f t="shared" si="7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6"/>
        <v>0</v>
      </c>
      <c r="E23" s="11">
        <f t="shared" si="8"/>
        <v>0</v>
      </c>
      <c r="F23" s="19"/>
      <c r="G23" s="17"/>
      <c r="H23" s="17"/>
      <c r="I23" s="11">
        <f t="shared" si="7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6"/>
        <v>0</v>
      </c>
      <c r="E24" s="11">
        <f t="shared" si="8"/>
        <v>0</v>
      </c>
      <c r="F24" s="19"/>
      <c r="G24" s="17"/>
      <c r="H24" s="17"/>
      <c r="I24" s="11">
        <f t="shared" si="7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1232</v>
      </c>
      <c r="E25" s="11">
        <f t="shared" si="8"/>
        <v>1232</v>
      </c>
      <c r="F25" s="19"/>
      <c r="G25" s="17">
        <f>890.9</f>
        <v>890.9</v>
      </c>
      <c r="H25" s="17">
        <f>341.1</f>
        <v>341.1</v>
      </c>
      <c r="I25" s="11">
        <f t="shared" si="7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6"/>
        <v>0</v>
      </c>
      <c r="E26" s="11">
        <f t="shared" si="8"/>
        <v>0</v>
      </c>
      <c r="F26" s="19"/>
      <c r="G26" s="17"/>
      <c r="H26" s="17"/>
      <c r="I26" s="11">
        <f t="shared" si="7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6"/>
        <v>0</v>
      </c>
      <c r="E27" s="11">
        <f t="shared" si="8"/>
        <v>0</v>
      </c>
      <c r="F27" s="19"/>
      <c r="G27" s="17"/>
      <c r="H27" s="17"/>
      <c r="I27" s="11">
        <f t="shared" si="7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46.1</v>
      </c>
      <c r="E28" s="35">
        <f>F28+G28+H28</f>
        <v>46.1</v>
      </c>
      <c r="F28" s="36"/>
      <c r="G28" s="37">
        <v>30.5</v>
      </c>
      <c r="H28" s="37">
        <v>15.6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96.7</v>
      </c>
      <c r="E29" s="35">
        <f>F29+G29+H29</f>
        <v>96.7</v>
      </c>
      <c r="F29" s="36"/>
      <c r="G29" s="37"/>
      <c r="H29" s="37">
        <f>36.1+60.6</f>
        <v>96.7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1003.5</v>
      </c>
      <c r="E31" s="35">
        <f>F31+G31+H31</f>
        <v>1003.5</v>
      </c>
      <c r="F31" s="11">
        <f>SUM(F33+F38+F39+F40)</f>
        <v>146.80000000000001</v>
      </c>
      <c r="G31" s="11">
        <f>G33+G38+G39+G40</f>
        <v>798.9</v>
      </c>
      <c r="H31" s="11">
        <f>SUM(H33+H38+H39+H40)</f>
        <v>57.800000000000004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945.7</v>
      </c>
      <c r="E33" s="11">
        <f>F33+G33+H33</f>
        <v>945.7</v>
      </c>
      <c r="F33" s="16">
        <f>SUM(F34:F36)</f>
        <v>146.80000000000001</v>
      </c>
      <c r="G33" s="16">
        <f>SUM(G34:G37)</f>
        <v>798.9</v>
      </c>
      <c r="H33" s="16">
        <f>SUM(H34:H36)</f>
        <v>0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0">E34+I34</f>
        <v>0</v>
      </c>
      <c r="E34" s="11">
        <f t="shared" ref="E34:E46" si="11">F34+G34+H34</f>
        <v>0</v>
      </c>
      <c r="F34" s="17"/>
      <c r="G34" s="17"/>
      <c r="H34" s="17"/>
      <c r="I34" s="11">
        <f t="shared" ref="I34:I46" si="12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0"/>
        <v>263.10000000000002</v>
      </c>
      <c r="E35" s="11">
        <f t="shared" si="11"/>
        <v>263.10000000000002</v>
      </c>
      <c r="F35" s="17">
        <v>146.80000000000001</v>
      </c>
      <c r="G35" s="17">
        <f>116.3</f>
        <v>116.3</v>
      </c>
      <c r="H35" s="17"/>
      <c r="I35" s="11">
        <f t="shared" si="12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0"/>
        <v>0</v>
      </c>
      <c r="E36" s="11">
        <f t="shared" si="11"/>
        <v>0</v>
      </c>
      <c r="F36" s="17"/>
      <c r="G36" s="17"/>
      <c r="H36" s="17"/>
      <c r="I36" s="11">
        <f t="shared" si="12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0"/>
        <v>682.6</v>
      </c>
      <c r="E37" s="11">
        <f t="shared" si="11"/>
        <v>682.6</v>
      </c>
      <c r="F37" s="17"/>
      <c r="G37" s="17">
        <v>682.6</v>
      </c>
      <c r="H37" s="17"/>
      <c r="I37" s="11">
        <f t="shared" si="12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10"/>
        <v>0</v>
      </c>
      <c r="E38" s="11">
        <f t="shared" si="11"/>
        <v>0</v>
      </c>
      <c r="F38" s="19"/>
      <c r="G38" s="17"/>
      <c r="H38" s="17"/>
      <c r="I38" s="11">
        <f t="shared" si="12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10"/>
        <v>0</v>
      </c>
      <c r="E39" s="11">
        <f t="shared" si="11"/>
        <v>0</v>
      </c>
      <c r="F39" s="17"/>
      <c r="G39" s="17"/>
      <c r="H39" s="17"/>
      <c r="I39" s="11">
        <f t="shared" si="12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57.800000000000004</v>
      </c>
      <c r="E40" s="11">
        <f>F40+G40+H40</f>
        <v>57.800000000000004</v>
      </c>
      <c r="F40" s="17">
        <f>SUM(F41:F45)</f>
        <v>0</v>
      </c>
      <c r="G40" s="17">
        <f>SUM(G41:G45)</f>
        <v>0</v>
      </c>
      <c r="H40" s="17">
        <f>SUM(H41:H45)</f>
        <v>57.800000000000004</v>
      </c>
      <c r="I40" s="11">
        <f t="shared" si="12"/>
        <v>0</v>
      </c>
      <c r="J40" s="17">
        <f>SUM(J41:J45)</f>
        <v>0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0"/>
        <v>7.7</v>
      </c>
      <c r="E41" s="11">
        <f t="shared" si="11"/>
        <v>7.7</v>
      </c>
      <c r="F41" s="17"/>
      <c r="G41" s="17"/>
      <c r="H41" s="17">
        <v>7.7</v>
      </c>
      <c r="I41" s="11">
        <f t="shared" si="12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0"/>
        <v>0</v>
      </c>
      <c r="E42" s="11">
        <f t="shared" si="11"/>
        <v>0</v>
      </c>
      <c r="F42" s="17"/>
      <c r="G42" s="17"/>
      <c r="H42" s="17"/>
      <c r="I42" s="11">
        <f t="shared" si="12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0"/>
        <v>0</v>
      </c>
      <c r="E43" s="11">
        <f t="shared" si="11"/>
        <v>0</v>
      </c>
      <c r="F43" s="17"/>
      <c r="G43" s="17"/>
      <c r="H43" s="17"/>
      <c r="I43" s="11">
        <f t="shared" si="12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50.1</v>
      </c>
      <c r="E44" s="11">
        <f t="shared" si="11"/>
        <v>50.1</v>
      </c>
      <c r="F44" s="17"/>
      <c r="G44" s="17"/>
      <c r="H44" s="17">
        <v>50.1</v>
      </c>
      <c r="I44" s="11">
        <f t="shared" si="12"/>
        <v>0</v>
      </c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1"/>
        <v>0</v>
      </c>
      <c r="F45" s="17"/>
      <c r="G45" s="17"/>
      <c r="H45" s="17"/>
      <c r="I45" s="11">
        <f t="shared" si="12"/>
        <v>0</v>
      </c>
      <c r="J45" s="17"/>
      <c r="K45" s="17"/>
      <c r="L45" s="17"/>
    </row>
    <row r="46" spans="1:12" ht="38.25" x14ac:dyDescent="0.2">
      <c r="A46" s="25" t="s">
        <v>65</v>
      </c>
      <c r="B46" s="23" t="s">
        <v>66</v>
      </c>
      <c r="C46" s="23">
        <v>37</v>
      </c>
      <c r="D46" s="16">
        <f t="shared" si="10"/>
        <v>0</v>
      </c>
      <c r="E46" s="11">
        <f t="shared" si="11"/>
        <v>0</v>
      </c>
      <c r="F46" s="25"/>
      <c r="G46" s="25"/>
      <c r="H46" s="25"/>
      <c r="I46" s="11">
        <f t="shared" si="12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E3:H3"/>
    <mergeCell ref="I3:L3"/>
    <mergeCell ref="A3:A4"/>
    <mergeCell ref="B3:B4"/>
    <mergeCell ref="C3:C4"/>
    <mergeCell ref="D3:D4"/>
  </mergeCells>
  <phoneticPr fontId="0" type="noConversion"/>
  <pageMargins left="0.46" right="0.38" top="1" bottom="0.72" header="0.5" footer="0.5"/>
  <pageSetup paperSize="9" scale="48" orientation="portrait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49"/>
  <sheetViews>
    <sheetView zoomScaleNormal="100" workbookViewId="0">
      <pane ySplit="5" topLeftCell="A6" activePane="bottomLeft" state="frozen"/>
      <selection activeCell="G46" sqref="G46"/>
      <selection pane="bottomLeft" activeCell="G29" sqref="G29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72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8951.5</v>
      </c>
      <c r="E6" s="11">
        <f>F6+G6+H6</f>
        <v>8951.5</v>
      </c>
      <c r="F6" s="12">
        <f>F8+F14+F28+F29+F31+F46</f>
        <v>0</v>
      </c>
      <c r="G6" s="12">
        <f>G8+G14+G28+G29+G31</f>
        <v>4516.2</v>
      </c>
      <c r="H6" s="12">
        <f>H8+H14+H28+H29+H31</f>
        <v>4435.2999999999993</v>
      </c>
      <c r="I6" s="12">
        <f>J6+K6+L6</f>
        <v>0</v>
      </c>
      <c r="J6" s="12">
        <f>J8+J14+J28+J29+J31</f>
        <v>0</v>
      </c>
      <c r="K6" s="12">
        <f>K8+K14+K28+K29+K31</f>
        <v>0</v>
      </c>
      <c r="L6" s="12">
        <f>L8+L14+L28+L29+L31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8549.6</v>
      </c>
      <c r="E8" s="11">
        <f>F8+G8+H8</f>
        <v>8549.6</v>
      </c>
      <c r="F8" s="11">
        <f>F10+F11+F13</f>
        <v>0</v>
      </c>
      <c r="G8" s="11">
        <f>G10+G11+G13</f>
        <v>4496.3</v>
      </c>
      <c r="H8" s="11">
        <f>H10+H11+H13</f>
        <v>4053.2999999999997</v>
      </c>
      <c r="I8" s="11">
        <f>J8+K8+L8</f>
        <v>0</v>
      </c>
      <c r="J8" s="11">
        <f t="shared" ref="J8:L8" si="0">J10+J11+J13</f>
        <v>0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6600.1</v>
      </c>
      <c r="E10" s="11">
        <f>F10+G10+H10</f>
        <v>6600.1</v>
      </c>
      <c r="F10" s="19"/>
      <c r="G10" s="17">
        <v>3477.4</v>
      </c>
      <c r="H10" s="17">
        <f>3122.7</f>
        <v>3122.7</v>
      </c>
      <c r="I10" s="11">
        <f t="shared" ref="I10:I13" si="1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40">
        <f>E11+I11</f>
        <v>0</v>
      </c>
      <c r="E11" s="41">
        <f>F11+G11+H11</f>
        <v>0</v>
      </c>
      <c r="F11" s="19"/>
      <c r="G11" s="17"/>
      <c r="H11" s="39"/>
      <c r="I11" s="11">
        <f t="shared" si="1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1949.5</v>
      </c>
      <c r="E13" s="11">
        <f>F13+G13+H13</f>
        <v>1949.5</v>
      </c>
      <c r="F13" s="19"/>
      <c r="G13" s="17">
        <v>1018.9</v>
      </c>
      <c r="H13" s="17">
        <f>930.6</f>
        <v>930.6</v>
      </c>
      <c r="I13" s="11">
        <f t="shared" si="1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331.79999999999995</v>
      </c>
      <c r="E14" s="11">
        <f>F14+G14+H14</f>
        <v>331.79999999999995</v>
      </c>
      <c r="F14" s="23">
        <f>F16+F18+F19+F20+F21+F25</f>
        <v>0</v>
      </c>
      <c r="G14" s="23">
        <f t="shared" ref="G14:H14" si="4">G16+G18+G19+G20+G21+G25</f>
        <v>0</v>
      </c>
      <c r="H14" s="23">
        <f t="shared" si="4"/>
        <v>331.79999999999995</v>
      </c>
      <c r="I14" s="11">
        <f>J14+K14+L14</f>
        <v>0</v>
      </c>
      <c r="J14" s="23">
        <f>#N/A</f>
        <v>0</v>
      </c>
      <c r="K14" s="23">
        <f>#N/A</f>
        <v>0</v>
      </c>
      <c r="L14" s="23">
        <f>#N/A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50.9</v>
      </c>
      <c r="E16" s="11">
        <f>F16+G16+H16</f>
        <v>50.9</v>
      </c>
      <c r="F16" s="19">
        <v>0</v>
      </c>
      <c r="G16" s="17"/>
      <c r="H16" s="17">
        <f>39+11.9</f>
        <v>50.9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13.3</v>
      </c>
      <c r="E18" s="11">
        <f t="shared" ref="E18:E27" si="7">F18+G18+H18</f>
        <v>13.3</v>
      </c>
      <c r="F18" s="19"/>
      <c r="G18" s="17"/>
      <c r="H18" s="17">
        <v>13.3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154.19999999999999</v>
      </c>
      <c r="E19" s="11">
        <f t="shared" si="7"/>
        <v>154.19999999999999</v>
      </c>
      <c r="F19" s="19"/>
      <c r="G19" s="17"/>
      <c r="H19" s="39">
        <f>16.6+137.6</f>
        <v>154.19999999999999</v>
      </c>
      <c r="I19" s="11">
        <f t="shared" si="6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19.3</v>
      </c>
      <c r="E21" s="11">
        <f t="shared" si="7"/>
        <v>19.3</v>
      </c>
      <c r="F21" s="21">
        <f>F22+F23+F24</f>
        <v>0</v>
      </c>
      <c r="G21" s="21">
        <f t="shared" ref="G21:H21" si="8">G22+G23+G24</f>
        <v>0</v>
      </c>
      <c r="H21" s="21">
        <f t="shared" si="8"/>
        <v>19.3</v>
      </c>
      <c r="I21" s="11">
        <f t="shared" si="6"/>
        <v>0</v>
      </c>
      <c r="J21" s="38">
        <f>SUM(J22:J24)</f>
        <v>0</v>
      </c>
      <c r="K21" s="38">
        <f>SUM(K22:K24)</f>
        <v>0</v>
      </c>
      <c r="L21" s="38">
        <f>SUM(L22:L24)</f>
        <v>0</v>
      </c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19.3</v>
      </c>
      <c r="E22" s="11">
        <f t="shared" si="7"/>
        <v>19.3</v>
      </c>
      <c r="F22" s="19"/>
      <c r="G22" s="17"/>
      <c r="H22" s="17">
        <v>19.3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0</v>
      </c>
      <c r="E23" s="11">
        <f t="shared" si="7"/>
        <v>0</v>
      </c>
      <c r="F23" s="19"/>
      <c r="G23" s="17"/>
      <c r="H23" s="17"/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94.1</v>
      </c>
      <c r="E25" s="11">
        <f t="shared" si="7"/>
        <v>94.1</v>
      </c>
      <c r="F25" s="19"/>
      <c r="G25" s="17"/>
      <c r="H25" s="17">
        <f>94.1</f>
        <v>94.1</v>
      </c>
      <c r="I25" s="11">
        <f t="shared" si="6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0</v>
      </c>
      <c r="E26" s="11">
        <f t="shared" si="7"/>
        <v>0</v>
      </c>
      <c r="F26" s="19"/>
      <c r="G26" s="17"/>
      <c r="H26" s="17"/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0</v>
      </c>
      <c r="E27" s="11">
        <f t="shared" si="7"/>
        <v>0</v>
      </c>
      <c r="F27" s="19"/>
      <c r="G27" s="17"/>
      <c r="H27" s="17"/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12.2</v>
      </c>
      <c r="E28" s="35">
        <f>F28+G28+H28</f>
        <v>12.2</v>
      </c>
      <c r="F28" s="36"/>
      <c r="G28" s="37">
        <v>12.2</v>
      </c>
      <c r="H28" s="37"/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16.5</v>
      </c>
      <c r="E29" s="35">
        <f>F29+G29+H29</f>
        <v>16.5</v>
      </c>
      <c r="F29" s="36"/>
      <c r="G29" s="37"/>
      <c r="H29" s="37">
        <v>16.5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41.400000000000006</v>
      </c>
      <c r="E31" s="35">
        <f>F31+G31+H31</f>
        <v>41.400000000000006</v>
      </c>
      <c r="F31" s="11">
        <f>SUM(F33+F38+F39+F40)</f>
        <v>0</v>
      </c>
      <c r="G31" s="11">
        <f>G33+G38+G39+G40</f>
        <v>7.7</v>
      </c>
      <c r="H31" s="11">
        <f>SUM(H33+H38+H39+H40)</f>
        <v>33.700000000000003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7.7</v>
      </c>
      <c r="E33" s="11">
        <f>F33+G33+H33</f>
        <v>7.7</v>
      </c>
      <c r="F33" s="16">
        <f>SUM(F34:F37)</f>
        <v>0</v>
      </c>
      <c r="G33" s="16">
        <f>SUM(G34:G37)</f>
        <v>7.7</v>
      </c>
      <c r="H33" s="16">
        <f>SUM(H34:H37)</f>
        <v>0</v>
      </c>
      <c r="I33" s="11">
        <f>J33+K33+L33</f>
        <v>0</v>
      </c>
      <c r="J33" s="29"/>
      <c r="K33" s="16"/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0</v>
      </c>
      <c r="E35" s="11">
        <f t="shared" si="10"/>
        <v>0</v>
      </c>
      <c r="F35" s="17"/>
      <c r="G35" s="17"/>
      <c r="H35" s="17"/>
      <c r="I35" s="11">
        <f t="shared" si="11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7.7</v>
      </c>
      <c r="E37" s="11">
        <f t="shared" si="10"/>
        <v>7.7</v>
      </c>
      <c r="F37" s="17"/>
      <c r="G37" s="17">
        <v>7.7</v>
      </c>
      <c r="H37" s="17"/>
      <c r="I37" s="11">
        <f t="shared" si="11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7"/>
      <c r="I38" s="11">
        <f t="shared" si="11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33.700000000000003</v>
      </c>
      <c r="E40" s="11">
        <f>F40+G40+H40</f>
        <v>33.700000000000003</v>
      </c>
      <c r="F40" s="17">
        <f>SUM(F41:F45)</f>
        <v>0</v>
      </c>
      <c r="G40" s="17">
        <f>#N/A</f>
        <v>0</v>
      </c>
      <c r="H40" s="17">
        <f>SUM(H41:H45)</f>
        <v>33.700000000000003</v>
      </c>
      <c r="I40" s="11">
        <f t="shared" si="11"/>
        <v>0</v>
      </c>
      <c r="J40" s="17">
        <f>#N/A</f>
        <v>0</v>
      </c>
      <c r="K40" s="17">
        <f>#N/A</f>
        <v>0</v>
      </c>
      <c r="L40" s="17">
        <f>#N/A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0</v>
      </c>
      <c r="E41" s="11">
        <f t="shared" si="10"/>
        <v>0</v>
      </c>
      <c r="F41" s="17"/>
      <c r="G41" s="17"/>
      <c r="H41" s="17"/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0</v>
      </c>
      <c r="E43" s="11">
        <f t="shared" si="10"/>
        <v>0</v>
      </c>
      <c r="F43" s="17"/>
      <c r="G43" s="17"/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33.700000000000003</v>
      </c>
      <c r="E44" s="11">
        <f t="shared" si="10"/>
        <v>33.700000000000003</v>
      </c>
      <c r="F44" s="17"/>
      <c r="G44" s="17"/>
      <c r="H44" s="17">
        <v>33.700000000000003</v>
      </c>
      <c r="I44" s="11">
        <f t="shared" si="11"/>
        <v>0</v>
      </c>
      <c r="J44" s="17"/>
      <c r="K44" s="17"/>
      <c r="L44" s="17"/>
    </row>
    <row r="45" spans="1:12" x14ac:dyDescent="0.2">
      <c r="A45" s="14" t="s">
        <v>73</v>
      </c>
      <c r="B45" s="19">
        <v>3403</v>
      </c>
      <c r="C45" s="28"/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9"/>
        <v>0</v>
      </c>
      <c r="E46" s="11">
        <f t="shared" si="10"/>
        <v>0</v>
      </c>
      <c r="F46" s="17"/>
      <c r="G46" s="17"/>
      <c r="H46" s="17"/>
      <c r="I46" s="11">
        <f t="shared" si="11"/>
        <v>0</v>
      </c>
      <c r="J46" s="17"/>
      <c r="K46" s="17"/>
      <c r="L46" s="17"/>
    </row>
    <row r="47" spans="1:12" ht="38.2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</sheetData>
  <mergeCells count="6">
    <mergeCell ref="E3:H3"/>
    <mergeCell ref="I3:L3"/>
    <mergeCell ref="A3:A4"/>
    <mergeCell ref="B3:B4"/>
    <mergeCell ref="C3:C4"/>
    <mergeCell ref="D3:D4"/>
  </mergeCells>
  <phoneticPr fontId="0" type="noConversion"/>
  <pageMargins left="0.75" right="0.75" top="1" bottom="1" header="0.5" footer="0.5"/>
  <pageSetup paperSize="9" scale="70" orientation="landscape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48"/>
  <sheetViews>
    <sheetView zoomScaleNormal="100" workbookViewId="0">
      <pane ySplit="5" topLeftCell="A27" activePane="bottomLeft" state="frozen"/>
      <selection activeCell="G46" sqref="G46"/>
      <selection pane="bottomLeft" activeCell="G33" sqref="G33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74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47686.2</v>
      </c>
      <c r="E6" s="11">
        <f>F6+G6+H6</f>
        <v>47686.2</v>
      </c>
      <c r="F6" s="12">
        <f>F8+F14+F28+F29+F31+F46</f>
        <v>836.2</v>
      </c>
      <c r="G6" s="12">
        <f>G8+G14+G28+G29+G31</f>
        <v>40355.800000000003</v>
      </c>
      <c r="H6" s="12">
        <f>H8+H14+H28+H29+H31</f>
        <v>6494.2</v>
      </c>
      <c r="I6" s="12">
        <f>J6+K6+L6</f>
        <v>0</v>
      </c>
      <c r="J6" s="12">
        <f>SUM(J8+J14+J28+J29+J31)</f>
        <v>0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36417.199999999997</v>
      </c>
      <c r="E8" s="11">
        <f>F8+G8+H8</f>
        <v>36417.199999999997</v>
      </c>
      <c r="F8" s="11">
        <f>SUM(F10:F13)</f>
        <v>18.100000000000001</v>
      </c>
      <c r="G8" s="11">
        <f>G10+G11+G13</f>
        <v>36026.6</v>
      </c>
      <c r="H8" s="11">
        <f t="shared" ref="H8" si="0">SUM(H10:H13)</f>
        <v>372.5</v>
      </c>
      <c r="I8" s="11">
        <f>J8+K8+L8</f>
        <v>0</v>
      </c>
      <c r="J8" s="11">
        <f>SUM(J10:J13)</f>
        <v>0</v>
      </c>
      <c r="K8" s="11">
        <f t="shared" ref="K8:L8" si="1">SUM(K10:K13)</f>
        <v>0</v>
      </c>
      <c r="L8" s="11">
        <f t="shared" si="1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28173.500000000004</v>
      </c>
      <c r="E10" s="11">
        <f>F10+G10+H10</f>
        <v>28173.500000000004</v>
      </c>
      <c r="F10" s="19">
        <v>13.9</v>
      </c>
      <c r="G10" s="17">
        <f>27490.9+381.8</f>
        <v>27872.7</v>
      </c>
      <c r="H10" s="17">
        <f>286.9</f>
        <v>286.89999999999998</v>
      </c>
      <c r="I10" s="11">
        <f t="shared" ref="I10:I13" si="2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2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3">E12+I12</f>
        <v>0</v>
      </c>
      <c r="E12" s="11">
        <f t="shared" ref="E12" si="4">F12+G12+H12</f>
        <v>0</v>
      </c>
      <c r="F12" s="19"/>
      <c r="G12" s="17"/>
      <c r="H12" s="17"/>
      <c r="I12" s="11">
        <f t="shared" si="2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3"/>
        <v>8243.7000000000007</v>
      </c>
      <c r="E13" s="11">
        <f>F13+G13+H13</f>
        <v>8243.7000000000007</v>
      </c>
      <c r="F13" s="19">
        <v>4.2</v>
      </c>
      <c r="G13" s="17">
        <f>8042.8+111.1</f>
        <v>8153.9000000000005</v>
      </c>
      <c r="H13" s="17">
        <f>85.6</f>
        <v>85.6</v>
      </c>
      <c r="I13" s="11">
        <f t="shared" si="2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6833.5</v>
      </c>
      <c r="E14" s="11">
        <f>F14+G14+H14</f>
        <v>6833.5</v>
      </c>
      <c r="F14" s="23">
        <f>F16+F18+F19+F20+F21+F25</f>
        <v>0</v>
      </c>
      <c r="G14" s="23">
        <f t="shared" ref="G14:L14" si="5">G16+G18+G19+G20+G21+G25</f>
        <v>2289.3000000000002</v>
      </c>
      <c r="H14" s="23">
        <f t="shared" si="5"/>
        <v>4544.2</v>
      </c>
      <c r="I14" s="23">
        <f t="shared" si="5"/>
        <v>0</v>
      </c>
      <c r="J14" s="23">
        <f t="shared" si="5"/>
        <v>0</v>
      </c>
      <c r="K14" s="23">
        <f t="shared" si="5"/>
        <v>0</v>
      </c>
      <c r="L14" s="23">
        <f t="shared" si="5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6">E16+I16</f>
        <v>48.1</v>
      </c>
      <c r="E16" s="11">
        <f>F16+G16+H16</f>
        <v>48.1</v>
      </c>
      <c r="F16" s="19"/>
      <c r="G16" s="17">
        <v>17.5</v>
      </c>
      <c r="H16" s="17">
        <f>18.1+12.5</f>
        <v>30.6</v>
      </c>
      <c r="I16" s="11">
        <f t="shared" ref="I16:I27" si="7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6"/>
        <v>0</v>
      </c>
      <c r="E17" s="11">
        <f>F17+G17+H17</f>
        <v>0</v>
      </c>
      <c r="F17" s="19"/>
      <c r="G17" s="17"/>
      <c r="H17" s="17"/>
      <c r="I17" s="11">
        <f t="shared" si="7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6"/>
        <v>0</v>
      </c>
      <c r="E18" s="11">
        <f t="shared" ref="E18:E27" si="8">F18+G18+H18</f>
        <v>0</v>
      </c>
      <c r="F18" s="19"/>
      <c r="G18" s="17"/>
      <c r="H18" s="17"/>
      <c r="I18" s="11">
        <f t="shared" si="7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6"/>
        <v>2705.7999999999997</v>
      </c>
      <c r="E19" s="11">
        <f t="shared" si="8"/>
        <v>2705.7999999999997</v>
      </c>
      <c r="F19" s="19"/>
      <c r="G19" s="17"/>
      <c r="H19" s="17">
        <f>373.1+2332.7</f>
        <v>2705.7999999999997</v>
      </c>
      <c r="I19" s="11">
        <f t="shared" si="7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6"/>
        <v>0</v>
      </c>
      <c r="E20" s="11">
        <f t="shared" si="8"/>
        <v>0</v>
      </c>
      <c r="F20" s="19"/>
      <c r="G20" s="17"/>
      <c r="H20" s="17"/>
      <c r="I20" s="11">
        <f t="shared" si="7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6"/>
        <v>1747.2</v>
      </c>
      <c r="E21" s="11">
        <f t="shared" si="8"/>
        <v>1747.2</v>
      </c>
      <c r="F21" s="21">
        <f>F22+F23+F24</f>
        <v>0</v>
      </c>
      <c r="G21" s="21">
        <f t="shared" ref="G21:H21" si="9">G22+G23+G24</f>
        <v>500</v>
      </c>
      <c r="H21" s="21">
        <f t="shared" si="9"/>
        <v>1247.2</v>
      </c>
      <c r="I21" s="11">
        <f t="shared" si="7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6"/>
        <v>99.2</v>
      </c>
      <c r="E22" s="11">
        <f t="shared" si="8"/>
        <v>99.2</v>
      </c>
      <c r="F22" s="19"/>
      <c r="G22" s="17"/>
      <c r="H22" s="17">
        <f>99.2</f>
        <v>99.2</v>
      </c>
      <c r="I22" s="11">
        <f t="shared" si="7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6"/>
        <v>1648</v>
      </c>
      <c r="E23" s="11">
        <f t="shared" si="8"/>
        <v>1648</v>
      </c>
      <c r="F23" s="19"/>
      <c r="G23" s="17">
        <v>500</v>
      </c>
      <c r="H23" s="17">
        <v>1148</v>
      </c>
      <c r="I23" s="11">
        <f t="shared" si="7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6"/>
        <v>0</v>
      </c>
      <c r="E24" s="11">
        <f t="shared" si="8"/>
        <v>0</v>
      </c>
      <c r="F24" s="19"/>
      <c r="G24" s="17"/>
      <c r="H24" s="17"/>
      <c r="I24" s="11">
        <f t="shared" si="7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2332.4</v>
      </c>
      <c r="E25" s="11">
        <f t="shared" si="8"/>
        <v>2332.4</v>
      </c>
      <c r="F25" s="19"/>
      <c r="G25" s="17">
        <f>1771.8</f>
        <v>1771.8</v>
      </c>
      <c r="H25" s="17">
        <f>503.7+56.9</f>
        <v>560.6</v>
      </c>
      <c r="I25" s="11">
        <f t="shared" si="7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6"/>
        <v>0</v>
      </c>
      <c r="E26" s="11">
        <f t="shared" si="8"/>
        <v>0</v>
      </c>
      <c r="F26" s="19"/>
      <c r="G26" s="17"/>
      <c r="H26" s="17"/>
      <c r="I26" s="11">
        <f t="shared" si="7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6"/>
        <v>0</v>
      </c>
      <c r="E27" s="11">
        <f t="shared" si="8"/>
        <v>0</v>
      </c>
      <c r="F27" s="19"/>
      <c r="G27" s="17"/>
      <c r="H27" s="17"/>
      <c r="I27" s="11">
        <f t="shared" si="7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19.5</v>
      </c>
      <c r="E28" s="35">
        <f>F28+G28+H28</f>
        <v>19.5</v>
      </c>
      <c r="F28" s="36"/>
      <c r="G28" s="37"/>
      <c r="H28" s="37">
        <v>19.5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878.1</v>
      </c>
      <c r="E29" s="35">
        <f>F29+G29+H29</f>
        <v>878.1</v>
      </c>
      <c r="F29" s="36"/>
      <c r="G29" s="37"/>
      <c r="H29" s="37">
        <f>878.1</f>
        <v>878.1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3537.9</v>
      </c>
      <c r="E31" s="35">
        <f>F31+G31+H31</f>
        <v>3537.9</v>
      </c>
      <c r="F31" s="11">
        <f>SUM(F33+F38+F39+F40)</f>
        <v>818.1</v>
      </c>
      <c r="G31" s="11">
        <f>G33+G38+G39+G40</f>
        <v>2039.9</v>
      </c>
      <c r="H31" s="11">
        <f>SUM(H33+H38+H39+H40)</f>
        <v>679.9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3416.9</v>
      </c>
      <c r="E33" s="11">
        <f>F33+G33+H33</f>
        <v>3416.9</v>
      </c>
      <c r="F33" s="16">
        <f>SUM(F34:F37)</f>
        <v>818.1</v>
      </c>
      <c r="G33" s="16">
        <f>SUM(G34:G37)</f>
        <v>2039.9</v>
      </c>
      <c r="H33" s="16">
        <f>SUM(H34:H37)</f>
        <v>558.9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0">E34+I34</f>
        <v>0</v>
      </c>
      <c r="E34" s="11">
        <f t="shared" ref="E34:E46" si="11">F34+G34+H34</f>
        <v>0</v>
      </c>
      <c r="F34" s="17"/>
      <c r="G34" s="17"/>
      <c r="H34" s="17"/>
      <c r="I34" s="11">
        <f t="shared" ref="I34:I46" si="12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0"/>
        <v>1945.5</v>
      </c>
      <c r="E35" s="11">
        <f t="shared" si="11"/>
        <v>1945.5</v>
      </c>
      <c r="F35" s="17">
        <v>818.1</v>
      </c>
      <c r="G35" s="17">
        <v>568.5</v>
      </c>
      <c r="H35" s="17">
        <f>58.9+500</f>
        <v>558.9</v>
      </c>
      <c r="I35" s="11">
        <f t="shared" si="12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0"/>
        <v>0</v>
      </c>
      <c r="E36" s="11">
        <f t="shared" si="11"/>
        <v>0</v>
      </c>
      <c r="F36" s="17"/>
      <c r="G36" s="17"/>
      <c r="H36" s="17"/>
      <c r="I36" s="11">
        <f t="shared" si="12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0"/>
        <v>1471.4</v>
      </c>
      <c r="E37" s="11">
        <f t="shared" si="11"/>
        <v>1471.4</v>
      </c>
      <c r="F37" s="17"/>
      <c r="G37" s="17">
        <v>1471.4</v>
      </c>
      <c r="H37" s="17"/>
      <c r="I37" s="11">
        <f t="shared" si="12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10"/>
        <v>0</v>
      </c>
      <c r="E38" s="11">
        <f t="shared" si="11"/>
        <v>0</v>
      </c>
      <c r="F38" s="19"/>
      <c r="G38" s="17"/>
      <c r="H38" s="17"/>
      <c r="I38" s="11">
        <f t="shared" si="12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10"/>
        <v>0</v>
      </c>
      <c r="E39" s="11">
        <f t="shared" si="11"/>
        <v>0</v>
      </c>
      <c r="F39" s="17"/>
      <c r="G39" s="17"/>
      <c r="H39" s="17"/>
      <c r="I39" s="11">
        <f t="shared" si="12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121</v>
      </c>
      <c r="E40" s="11">
        <f>F40+G40+H40</f>
        <v>121</v>
      </c>
      <c r="F40" s="17">
        <f>SUM(F41:F45)</f>
        <v>0</v>
      </c>
      <c r="G40" s="17">
        <f>SUM(G41:G45)</f>
        <v>0</v>
      </c>
      <c r="H40" s="17">
        <f>SUM(H41:H45)</f>
        <v>121</v>
      </c>
      <c r="I40" s="11">
        <f t="shared" si="12"/>
        <v>0</v>
      </c>
      <c r="J40" s="17">
        <f>SUM(J41:J45)</f>
        <v>0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0"/>
        <v>20</v>
      </c>
      <c r="E41" s="11">
        <f t="shared" si="11"/>
        <v>20</v>
      </c>
      <c r="F41" s="17"/>
      <c r="G41" s="17"/>
      <c r="H41" s="17">
        <v>20</v>
      </c>
      <c r="I41" s="11">
        <f t="shared" si="12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0"/>
        <v>0</v>
      </c>
      <c r="E42" s="11">
        <f t="shared" si="11"/>
        <v>0</v>
      </c>
      <c r="F42" s="17"/>
      <c r="G42" s="17"/>
      <c r="H42" s="17"/>
      <c r="I42" s="11">
        <f t="shared" si="12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0"/>
        <v>0</v>
      </c>
      <c r="E43" s="11">
        <f t="shared" si="11"/>
        <v>0</v>
      </c>
      <c r="F43" s="17"/>
      <c r="G43" s="17"/>
      <c r="H43" s="17"/>
      <c r="I43" s="11">
        <f t="shared" si="12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101</v>
      </c>
      <c r="E44" s="11">
        <f t="shared" si="11"/>
        <v>101</v>
      </c>
      <c r="F44" s="17"/>
      <c r="G44" s="17"/>
      <c r="H44" s="17">
        <v>101</v>
      </c>
      <c r="I44" s="11">
        <f t="shared" si="12"/>
        <v>0</v>
      </c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1"/>
        <v>0</v>
      </c>
      <c r="F45" s="17"/>
      <c r="G45" s="17"/>
      <c r="H45" s="17"/>
      <c r="I45" s="11">
        <f t="shared" si="12"/>
        <v>0</v>
      </c>
      <c r="J45" s="17"/>
      <c r="K45" s="17"/>
      <c r="L45" s="17"/>
    </row>
    <row r="46" spans="1:12" ht="38.25" x14ac:dyDescent="0.2">
      <c r="A46" s="25" t="s">
        <v>65</v>
      </c>
      <c r="B46" s="23" t="s">
        <v>66</v>
      </c>
      <c r="C46" s="23">
        <v>37</v>
      </c>
      <c r="D46" s="16">
        <f t="shared" si="10"/>
        <v>0</v>
      </c>
      <c r="E46" s="11">
        <f t="shared" si="11"/>
        <v>0</v>
      </c>
      <c r="F46" s="25"/>
      <c r="G46" s="25"/>
      <c r="H46" s="25"/>
      <c r="I46" s="11">
        <f t="shared" si="12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E3:H3"/>
    <mergeCell ref="I3:L3"/>
    <mergeCell ref="A3:A4"/>
    <mergeCell ref="B3:B4"/>
    <mergeCell ref="C3:C4"/>
    <mergeCell ref="D3:D4"/>
  </mergeCells>
  <phoneticPr fontId="0" type="noConversion"/>
  <pageMargins left="0.75" right="0.75" top="1" bottom="1" header="0.5" footer="0.5"/>
  <pageSetup paperSize="9" scale="60" orientation="portrait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48"/>
  <sheetViews>
    <sheetView zoomScaleNormal="100" workbookViewId="0">
      <pane xSplit="3" ySplit="5" topLeftCell="D12" activePane="bottomRight" state="frozen"/>
      <selection activeCell="G46" sqref="G46"/>
      <selection pane="topRight" activeCell="G46" sqref="G46"/>
      <selection pane="bottomLeft" activeCell="G46" sqref="G46"/>
      <selection pane="bottomRight" activeCell="G11" sqref="G11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75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33779.300000000003</v>
      </c>
      <c r="E6" s="11">
        <f>F6+G6+H6</f>
        <v>33770.300000000003</v>
      </c>
      <c r="F6" s="12">
        <f>F8+F14+F28+F29+F31+F46</f>
        <v>156.5</v>
      </c>
      <c r="G6" s="12">
        <f>G8+G14+G28+G29+G31</f>
        <v>29478.5</v>
      </c>
      <c r="H6" s="12">
        <f>H8+H14+H28+H29+H31</f>
        <v>4135.3</v>
      </c>
      <c r="I6" s="12">
        <f>J6+K6+L6</f>
        <v>9</v>
      </c>
      <c r="J6" s="12">
        <f>SUM(J8+J14+J28+J29+J31)</f>
        <v>9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26284.799999999999</v>
      </c>
      <c r="E8" s="11">
        <f>F8+G8+H8</f>
        <v>26284.799999999999</v>
      </c>
      <c r="F8" s="11">
        <f>SUM(F10:F13)</f>
        <v>62</v>
      </c>
      <c r="G8" s="11">
        <f>G10+G11+G13</f>
        <v>26222.799999999999</v>
      </c>
      <c r="H8" s="11">
        <f t="shared" ref="H8" si="0">SUM(H10:H13)</f>
        <v>0</v>
      </c>
      <c r="I8" s="11">
        <f>J8+K8+L8</f>
        <v>0</v>
      </c>
      <c r="J8" s="11">
        <f>SUM(J10:J13)</f>
        <v>0</v>
      </c>
      <c r="K8" s="11">
        <f t="shared" ref="K8:L8" si="1">SUM(K10:K13)</f>
        <v>0</v>
      </c>
      <c r="L8" s="11">
        <f t="shared" si="1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20388.399999999998</v>
      </c>
      <c r="E10" s="11">
        <f>F10+G10+H10</f>
        <v>20388.399999999998</v>
      </c>
      <c r="F10" s="19">
        <v>47.6</v>
      </c>
      <c r="G10" s="17">
        <f>20147.1+193.7</f>
        <v>20340.8</v>
      </c>
      <c r="H10" s="17"/>
      <c r="I10" s="11">
        <f t="shared" ref="I10:I13" si="2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2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3">E12+I12</f>
        <v>0</v>
      </c>
      <c r="E12" s="11">
        <f t="shared" ref="E12" si="4">F12+G12+H12</f>
        <v>0</v>
      </c>
      <c r="F12" s="19"/>
      <c r="G12" s="17"/>
      <c r="H12" s="17"/>
      <c r="I12" s="11">
        <f t="shared" si="2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3"/>
        <v>5896.4</v>
      </c>
      <c r="E13" s="11">
        <f>F13+G13+H13</f>
        <v>5896.4</v>
      </c>
      <c r="F13" s="19">
        <v>14.4</v>
      </c>
      <c r="G13" s="17">
        <f>5824.3+57.7</f>
        <v>5882</v>
      </c>
      <c r="H13" s="17"/>
      <c r="I13" s="11">
        <f t="shared" si="2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4827.5</v>
      </c>
      <c r="E14" s="11">
        <f>F14+G14+H14</f>
        <v>4818.5</v>
      </c>
      <c r="F14" s="23">
        <f>F16+F18+F19+F20+F21+F25</f>
        <v>94.5</v>
      </c>
      <c r="G14" s="23">
        <f t="shared" ref="G14:H14" si="5">G16+G18+G19+G20+G21+G25</f>
        <v>2173.8000000000002</v>
      </c>
      <c r="H14" s="23">
        <f t="shared" si="5"/>
        <v>2550.1999999999998</v>
      </c>
      <c r="I14" s="11">
        <f>J14+K14+L14</f>
        <v>9</v>
      </c>
      <c r="J14" s="23">
        <f>#N/A</f>
        <v>9</v>
      </c>
      <c r="K14" s="23">
        <f>#N/A</f>
        <v>0</v>
      </c>
      <c r="L14" s="23">
        <f>#N/A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6">E16+I16</f>
        <v>43.9</v>
      </c>
      <c r="E16" s="11">
        <f>F16+G16+H16</f>
        <v>43.9</v>
      </c>
      <c r="F16" s="19"/>
      <c r="G16" s="17">
        <v>17.5</v>
      </c>
      <c r="H16" s="17">
        <f>13.9+12.5</f>
        <v>26.4</v>
      </c>
      <c r="I16" s="11">
        <f t="shared" ref="I16:I27" si="7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6"/>
        <v>0</v>
      </c>
      <c r="E17" s="11">
        <f>F17+G17+H17</f>
        <v>0</v>
      </c>
      <c r="F17" s="19"/>
      <c r="G17" s="17"/>
      <c r="H17" s="17"/>
      <c r="I17" s="11">
        <f t="shared" si="7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6"/>
        <v>3.8</v>
      </c>
      <c r="E18" s="11">
        <f t="shared" ref="E18:E27" si="8">F18+G18+H18</f>
        <v>3.8</v>
      </c>
      <c r="F18" s="19"/>
      <c r="G18" s="17"/>
      <c r="H18" s="17">
        <f>3.8</f>
        <v>3.8</v>
      </c>
      <c r="I18" s="11">
        <f t="shared" si="7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6"/>
        <v>1829.8</v>
      </c>
      <c r="E19" s="11">
        <f t="shared" si="8"/>
        <v>1829.8</v>
      </c>
      <c r="F19" s="19"/>
      <c r="G19" s="17"/>
      <c r="H19" s="17">
        <f>152.6+325.6+1351.6</f>
        <v>1829.8</v>
      </c>
      <c r="I19" s="11">
        <f t="shared" si="7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6"/>
        <v>0</v>
      </c>
      <c r="E20" s="11">
        <f t="shared" si="8"/>
        <v>0</v>
      </c>
      <c r="F20" s="19"/>
      <c r="G20" s="17"/>
      <c r="H20" s="17"/>
      <c r="I20" s="11">
        <f t="shared" si="7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6"/>
        <v>1199</v>
      </c>
      <c r="E21" s="11">
        <f t="shared" si="8"/>
        <v>1199</v>
      </c>
      <c r="F21" s="21">
        <f>F22+F23+F24</f>
        <v>0</v>
      </c>
      <c r="G21" s="21">
        <f t="shared" ref="G21:H21" si="9">G22+G23+G24</f>
        <v>1021.9</v>
      </c>
      <c r="H21" s="21">
        <f t="shared" si="9"/>
        <v>177.1</v>
      </c>
      <c r="I21" s="11">
        <f t="shared" si="7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6"/>
        <v>87.1</v>
      </c>
      <c r="E22" s="11">
        <f t="shared" si="8"/>
        <v>87.1</v>
      </c>
      <c r="F22" s="19"/>
      <c r="G22" s="17"/>
      <c r="H22" s="17">
        <v>87.1</v>
      </c>
      <c r="I22" s="11">
        <f t="shared" si="7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6"/>
        <v>1111.9000000000001</v>
      </c>
      <c r="E23" s="11">
        <f t="shared" si="8"/>
        <v>1111.9000000000001</v>
      </c>
      <c r="F23" s="19"/>
      <c r="G23" s="17">
        <v>1021.9</v>
      </c>
      <c r="H23" s="17">
        <v>90</v>
      </c>
      <c r="I23" s="11">
        <f t="shared" si="7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6"/>
        <v>0</v>
      </c>
      <c r="E24" s="11">
        <f t="shared" si="8"/>
        <v>0</v>
      </c>
      <c r="F24" s="19"/>
      <c r="G24" s="17"/>
      <c r="H24" s="17"/>
      <c r="I24" s="11">
        <f t="shared" si="7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1742</v>
      </c>
      <c r="E25" s="11">
        <f t="shared" si="8"/>
        <v>1742</v>
      </c>
      <c r="F25" s="19">
        <v>94.5</v>
      </c>
      <c r="G25" s="17">
        <f>1079.4+55</f>
        <v>1134.4000000000001</v>
      </c>
      <c r="H25" s="17">
        <f>393.1+120</f>
        <v>513.1</v>
      </c>
      <c r="I25" s="11">
        <f t="shared" si="7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6"/>
        <v>0</v>
      </c>
      <c r="E26" s="11">
        <f t="shared" si="8"/>
        <v>0</v>
      </c>
      <c r="F26" s="19"/>
      <c r="G26" s="17"/>
      <c r="H26" s="17"/>
      <c r="I26" s="11">
        <f t="shared" si="7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6"/>
        <v>0</v>
      </c>
      <c r="E27" s="11">
        <f t="shared" si="8"/>
        <v>0</v>
      </c>
      <c r="F27" s="19"/>
      <c r="G27" s="17"/>
      <c r="H27" s="17"/>
      <c r="I27" s="11">
        <f t="shared" si="7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37.9</v>
      </c>
      <c r="E28" s="35">
        <f>F28+G28+H28</f>
        <v>37.9</v>
      </c>
      <c r="F28" s="36"/>
      <c r="G28" s="37">
        <v>1.5</v>
      </c>
      <c r="H28" s="37">
        <v>36.4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1385.1</v>
      </c>
      <c r="E29" s="35">
        <f>F29+G29+H29</f>
        <v>1385.1</v>
      </c>
      <c r="F29" s="36"/>
      <c r="G29" s="37"/>
      <c r="H29" s="37">
        <f>356.1+1029</f>
        <v>1385.1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1244</v>
      </c>
      <c r="E31" s="35">
        <f>F31+G31+H31</f>
        <v>1244</v>
      </c>
      <c r="F31" s="11">
        <f>SUM(F33+F38+F39+F40)</f>
        <v>0</v>
      </c>
      <c r="G31" s="11">
        <f>G33+G38+G39+G40</f>
        <v>1080.4000000000001</v>
      </c>
      <c r="H31" s="11">
        <f>SUM(H33+H38+H39+H40)</f>
        <v>163.6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1155.5</v>
      </c>
      <c r="E33" s="11">
        <f>F33+G33+H33</f>
        <v>1155.5</v>
      </c>
      <c r="F33" s="16">
        <f>SUM(F34:F37)</f>
        <v>0</v>
      </c>
      <c r="G33" s="16">
        <f t="shared" ref="G33:H33" si="10">SUM(G34:G37)</f>
        <v>1080.4000000000001</v>
      </c>
      <c r="H33" s="16">
        <f t="shared" si="10"/>
        <v>75.099999999999994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1">E34+I34</f>
        <v>0</v>
      </c>
      <c r="E34" s="11">
        <f t="shared" ref="E34:E46" si="12">F34+G34+H34</f>
        <v>0</v>
      </c>
      <c r="F34" s="17"/>
      <c r="G34" s="17"/>
      <c r="H34" s="17"/>
      <c r="I34" s="11">
        <f t="shared" ref="I34:I46" si="13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1"/>
        <v>170</v>
      </c>
      <c r="E35" s="11">
        <f t="shared" si="12"/>
        <v>170</v>
      </c>
      <c r="F35" s="17"/>
      <c r="G35" s="16">
        <v>94.9</v>
      </c>
      <c r="H35" s="16">
        <v>75.099999999999994</v>
      </c>
      <c r="I35" s="11">
        <f t="shared" si="13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1"/>
        <v>0</v>
      </c>
      <c r="E36" s="11">
        <f t="shared" si="12"/>
        <v>0</v>
      </c>
      <c r="F36" s="17"/>
      <c r="G36" s="17"/>
      <c r="H36" s="17"/>
      <c r="I36" s="11">
        <f t="shared" si="13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1"/>
        <v>985.5</v>
      </c>
      <c r="E37" s="11">
        <f t="shared" si="12"/>
        <v>985.5</v>
      </c>
      <c r="F37" s="17"/>
      <c r="G37" s="17">
        <v>985.5</v>
      </c>
      <c r="H37" s="17"/>
      <c r="I37" s="11">
        <f t="shared" si="13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11"/>
        <v>0</v>
      </c>
      <c r="E38" s="11">
        <f t="shared" si="12"/>
        <v>0</v>
      </c>
      <c r="F38" s="19"/>
      <c r="G38" s="17"/>
      <c r="H38" s="17"/>
      <c r="I38" s="11">
        <f t="shared" si="13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11"/>
        <v>0</v>
      </c>
      <c r="E39" s="11">
        <f t="shared" si="12"/>
        <v>0</v>
      </c>
      <c r="F39" s="17"/>
      <c r="G39" s="17"/>
      <c r="H39" s="17"/>
      <c r="I39" s="11">
        <f t="shared" si="13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88.5</v>
      </c>
      <c r="E40" s="11">
        <f>F40+G40+H40</f>
        <v>88.5</v>
      </c>
      <c r="F40" s="17">
        <f>SUM(F41:F45)</f>
        <v>0</v>
      </c>
      <c r="G40" s="17">
        <f>SUM(G41:G45)</f>
        <v>0</v>
      </c>
      <c r="H40" s="17">
        <f>SUM(H41:H45)</f>
        <v>88.5</v>
      </c>
      <c r="I40" s="11">
        <f t="shared" si="13"/>
        <v>0</v>
      </c>
      <c r="J40" s="17">
        <f>SUM(J41:J45)</f>
        <v>0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1"/>
        <v>15</v>
      </c>
      <c r="E41" s="11">
        <f t="shared" si="12"/>
        <v>15</v>
      </c>
      <c r="F41" s="17"/>
      <c r="G41" s="17"/>
      <c r="H41" s="17">
        <v>15</v>
      </c>
      <c r="I41" s="11">
        <f t="shared" si="13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1"/>
        <v>0</v>
      </c>
      <c r="E42" s="11">
        <f t="shared" si="12"/>
        <v>0</v>
      </c>
      <c r="F42" s="17"/>
      <c r="G42" s="17"/>
      <c r="H42" s="17"/>
      <c r="I42" s="11">
        <f t="shared" si="13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1"/>
        <v>0</v>
      </c>
      <c r="E43" s="11">
        <f t="shared" si="12"/>
        <v>0</v>
      </c>
      <c r="F43" s="17"/>
      <c r="G43" s="17"/>
      <c r="H43" s="17"/>
      <c r="I43" s="11">
        <f t="shared" si="13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73.5</v>
      </c>
      <c r="E44" s="11">
        <f t="shared" si="12"/>
        <v>73.5</v>
      </c>
      <c r="F44" s="17"/>
      <c r="G44" s="17"/>
      <c r="H44" s="17">
        <v>73.5</v>
      </c>
      <c r="I44" s="11">
        <f t="shared" si="13"/>
        <v>0</v>
      </c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2"/>
        <v>0</v>
      </c>
      <c r="F45" s="17"/>
      <c r="G45" s="17"/>
      <c r="H45" s="17"/>
      <c r="I45" s="11">
        <f t="shared" si="13"/>
        <v>0</v>
      </c>
      <c r="J45" s="17"/>
      <c r="K45" s="17"/>
      <c r="L45" s="17"/>
    </row>
    <row r="46" spans="1:12" ht="38.25" x14ac:dyDescent="0.2">
      <c r="A46" s="25" t="s">
        <v>65</v>
      </c>
      <c r="B46" s="23" t="s">
        <v>66</v>
      </c>
      <c r="C46" s="23">
        <v>37</v>
      </c>
      <c r="D46" s="16">
        <f t="shared" si="11"/>
        <v>0</v>
      </c>
      <c r="E46" s="11">
        <f t="shared" si="12"/>
        <v>0</v>
      </c>
      <c r="F46" s="25"/>
      <c r="G46" s="25"/>
      <c r="H46" s="25"/>
      <c r="I46" s="11">
        <f t="shared" si="13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pageSetup paperSize="9" scale="53" orientation="portrait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030A0"/>
  </sheetPr>
  <dimension ref="A1:L48"/>
  <sheetViews>
    <sheetView zoomScaleNormal="100" workbookViewId="0">
      <pane xSplit="3" ySplit="5" topLeftCell="D24" activePane="bottomRight" state="frozen"/>
      <selection activeCell="G46" sqref="G46"/>
      <selection pane="topRight" activeCell="G46" sqref="G46"/>
      <selection pane="bottomLeft" activeCell="G46" sqref="G46"/>
      <selection pane="bottomRight" activeCell="F47" sqref="F47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76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0</v>
      </c>
      <c r="E6" s="11">
        <f>F6+G6+H6</f>
        <v>0</v>
      </c>
      <c r="F6" s="12">
        <f>F8+F14+F28+F29+F31+F46</f>
        <v>0</v>
      </c>
      <c r="G6" s="12">
        <f>G8+G14+G28+G29+G31</f>
        <v>0</v>
      </c>
      <c r="H6" s="12">
        <f>H8+H14+H28+H29+H31</f>
        <v>0</v>
      </c>
      <c r="I6" s="12">
        <f>J6+K6+L6</f>
        <v>0</v>
      </c>
      <c r="J6" s="12">
        <f>SUM(J8+J14+J28+J29+J31)</f>
        <v>0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0</v>
      </c>
      <c r="E8" s="11">
        <f>F8+G8+H8</f>
        <v>0</v>
      </c>
      <c r="F8" s="11">
        <f>SUM(F10:F13)</f>
        <v>0</v>
      </c>
      <c r="G8" s="11">
        <f>G10+G11+G13</f>
        <v>0</v>
      </c>
      <c r="H8" s="11">
        <f t="shared" ref="H8" si="0">SUM(H10:H13)</f>
        <v>0</v>
      </c>
      <c r="I8" s="11">
        <f>J8+K8+L8</f>
        <v>0</v>
      </c>
      <c r="J8" s="11">
        <f>SUM(J10:J13)</f>
        <v>0</v>
      </c>
      <c r="K8" s="11">
        <f t="shared" ref="K8:L8" si="1">SUM(K10:K13)</f>
        <v>0</v>
      </c>
      <c r="L8" s="11">
        <f t="shared" si="1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0</v>
      </c>
      <c r="E10" s="11">
        <f>F10+G10+H10</f>
        <v>0</v>
      </c>
      <c r="F10" s="19"/>
      <c r="G10" s="17"/>
      <c r="H10" s="17"/>
      <c r="I10" s="11">
        <f t="shared" ref="I10:I13" si="2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2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3">E12+I12</f>
        <v>0</v>
      </c>
      <c r="E12" s="11">
        <f t="shared" ref="E12" si="4">F12+G12+H12</f>
        <v>0</v>
      </c>
      <c r="F12" s="19"/>
      <c r="G12" s="17"/>
      <c r="H12" s="17"/>
      <c r="I12" s="11">
        <f t="shared" si="2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3"/>
        <v>0</v>
      </c>
      <c r="E13" s="11">
        <f>F13+G13+H13</f>
        <v>0</v>
      </c>
      <c r="F13" s="19"/>
      <c r="G13" s="17"/>
      <c r="H13" s="17"/>
      <c r="I13" s="11">
        <f t="shared" si="2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0</v>
      </c>
      <c r="E14" s="11">
        <f>F14+G14+H14</f>
        <v>0</v>
      </c>
      <c r="F14" s="23">
        <f>F16+F18+F19+F20+F21+F25</f>
        <v>0</v>
      </c>
      <c r="G14" s="23">
        <f t="shared" ref="G14:L14" si="5">G16+G18+G19+G20+G21+G25</f>
        <v>0</v>
      </c>
      <c r="H14" s="23">
        <f t="shared" si="5"/>
        <v>0</v>
      </c>
      <c r="I14" s="23">
        <f t="shared" si="5"/>
        <v>0</v>
      </c>
      <c r="J14" s="23">
        <f t="shared" si="5"/>
        <v>0</v>
      </c>
      <c r="K14" s="23">
        <f t="shared" si="5"/>
        <v>0</v>
      </c>
      <c r="L14" s="23">
        <f t="shared" si="5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6">E16+I16</f>
        <v>0</v>
      </c>
      <c r="E16" s="11">
        <f>F16+G16+H16</f>
        <v>0</v>
      </c>
      <c r="F16" s="19"/>
      <c r="G16" s="17"/>
      <c r="H16" s="17"/>
      <c r="I16" s="11">
        <f t="shared" ref="I16:I27" si="7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6"/>
        <v>0</v>
      </c>
      <c r="E17" s="11">
        <f>F17+G17+H17</f>
        <v>0</v>
      </c>
      <c r="F17" s="19"/>
      <c r="G17" s="17"/>
      <c r="H17" s="17"/>
      <c r="I17" s="11">
        <f t="shared" si="7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6"/>
        <v>0</v>
      </c>
      <c r="E18" s="11">
        <f t="shared" ref="E18:E27" si="8">F18+G18+H18</f>
        <v>0</v>
      </c>
      <c r="F18" s="19"/>
      <c r="G18" s="17"/>
      <c r="H18" s="17"/>
      <c r="I18" s="11">
        <f t="shared" si="7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6"/>
        <v>0</v>
      </c>
      <c r="E19" s="11">
        <f t="shared" si="8"/>
        <v>0</v>
      </c>
      <c r="F19" s="19"/>
      <c r="G19" s="17"/>
      <c r="H19" s="17"/>
      <c r="I19" s="11">
        <f t="shared" si="7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6"/>
        <v>0</v>
      </c>
      <c r="E20" s="11">
        <f t="shared" si="8"/>
        <v>0</v>
      </c>
      <c r="F20" s="19"/>
      <c r="G20" s="17"/>
      <c r="H20" s="17"/>
      <c r="I20" s="11">
        <f t="shared" si="7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6"/>
        <v>0</v>
      </c>
      <c r="E21" s="11">
        <f t="shared" si="8"/>
        <v>0</v>
      </c>
      <c r="F21" s="21">
        <f>F22+F23+F24</f>
        <v>0</v>
      </c>
      <c r="G21" s="21">
        <f t="shared" ref="G21:H21" si="9">G22+G23+G24</f>
        <v>0</v>
      </c>
      <c r="H21" s="21">
        <f t="shared" si="9"/>
        <v>0</v>
      </c>
      <c r="I21" s="11">
        <f t="shared" si="7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6"/>
        <v>0</v>
      </c>
      <c r="E22" s="11">
        <f t="shared" si="8"/>
        <v>0</v>
      </c>
      <c r="F22" s="19"/>
      <c r="G22" s="17"/>
      <c r="H22" s="17"/>
      <c r="I22" s="11">
        <f t="shared" si="7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6"/>
        <v>0</v>
      </c>
      <c r="E23" s="11">
        <f t="shared" si="8"/>
        <v>0</v>
      </c>
      <c r="F23" s="19"/>
      <c r="G23" s="17"/>
      <c r="H23" s="17"/>
      <c r="I23" s="11">
        <f t="shared" si="7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6"/>
        <v>0</v>
      </c>
      <c r="E24" s="11">
        <f t="shared" si="8"/>
        <v>0</v>
      </c>
      <c r="F24" s="19"/>
      <c r="G24" s="17"/>
      <c r="H24" s="17"/>
      <c r="I24" s="11">
        <f t="shared" si="7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0</v>
      </c>
      <c r="E25" s="11">
        <f t="shared" si="8"/>
        <v>0</v>
      </c>
      <c r="F25" s="19"/>
      <c r="G25" s="17"/>
      <c r="H25" s="17"/>
      <c r="I25" s="11">
        <f t="shared" si="7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6"/>
        <v>0</v>
      </c>
      <c r="E26" s="11">
        <f t="shared" si="8"/>
        <v>0</v>
      </c>
      <c r="F26" s="19"/>
      <c r="G26" s="17"/>
      <c r="H26" s="17"/>
      <c r="I26" s="11">
        <f t="shared" si="7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6"/>
        <v>0</v>
      </c>
      <c r="E27" s="11">
        <f t="shared" si="8"/>
        <v>0</v>
      </c>
      <c r="F27" s="19"/>
      <c r="G27" s="17"/>
      <c r="H27" s="17"/>
      <c r="I27" s="11">
        <f t="shared" si="7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0</v>
      </c>
      <c r="E28" s="35">
        <f>F28+G28+H28</f>
        <v>0</v>
      </c>
      <c r="F28" s="36"/>
      <c r="G28" s="37"/>
      <c r="H28" s="37"/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0</v>
      </c>
      <c r="E29" s="35">
        <f>F29+G29+H29</f>
        <v>0</v>
      </c>
      <c r="F29" s="36"/>
      <c r="G29" s="37"/>
      <c r="H29" s="37"/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0</v>
      </c>
      <c r="E31" s="35">
        <f>F31+G31+H31</f>
        <v>0</v>
      </c>
      <c r="F31" s="11">
        <f>SUM(F33+F38+F39+F40)</f>
        <v>0</v>
      </c>
      <c r="G31" s="11">
        <f>G33+G38+G39+G40</f>
        <v>0</v>
      </c>
      <c r="H31" s="11">
        <f>SUM(H33+H38+H39+H40)</f>
        <v>0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0</v>
      </c>
      <c r="E33" s="11">
        <f>F33+G33+H33</f>
        <v>0</v>
      </c>
      <c r="F33" s="16">
        <f>SUM(F34:F37)</f>
        <v>0</v>
      </c>
      <c r="G33" s="16">
        <f>SUM(G34:G37)</f>
        <v>0</v>
      </c>
      <c r="H33" s="16">
        <f>SUM(H34:H37)</f>
        <v>0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3" si="10">E34+I34</f>
        <v>0</v>
      </c>
      <c r="E34" s="11">
        <f t="shared" ref="E34:E45" si="11">F34+G34+H34</f>
        <v>0</v>
      </c>
      <c r="F34" s="17"/>
      <c r="G34" s="17"/>
      <c r="H34" s="17"/>
      <c r="I34" s="11">
        <f t="shared" ref="I34:I46" si="12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0"/>
        <v>0</v>
      </c>
      <c r="E35" s="11">
        <f t="shared" si="11"/>
        <v>0</v>
      </c>
      <c r="F35" s="17"/>
      <c r="G35" s="17"/>
      <c r="H35" s="17"/>
      <c r="I35" s="11">
        <f t="shared" si="12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0"/>
        <v>0</v>
      </c>
      <c r="E36" s="11">
        <f t="shared" si="11"/>
        <v>0</v>
      </c>
      <c r="F36" s="17"/>
      <c r="G36" s="17"/>
      <c r="H36" s="17"/>
      <c r="I36" s="11">
        <f t="shared" si="12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0"/>
        <v>0</v>
      </c>
      <c r="E37" s="11">
        <f t="shared" si="11"/>
        <v>0</v>
      </c>
      <c r="F37" s="17"/>
      <c r="G37" s="17"/>
      <c r="H37" s="17"/>
      <c r="I37" s="11">
        <f t="shared" si="12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10"/>
        <v>0</v>
      </c>
      <c r="E38" s="11">
        <f t="shared" si="11"/>
        <v>0</v>
      </c>
      <c r="F38" s="19"/>
      <c r="G38" s="17"/>
      <c r="H38" s="17"/>
      <c r="I38" s="11">
        <f t="shared" si="12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10"/>
        <v>0</v>
      </c>
      <c r="E39" s="11">
        <f t="shared" si="11"/>
        <v>0</v>
      </c>
      <c r="F39" s="17"/>
      <c r="G39" s="17"/>
      <c r="H39" s="17"/>
      <c r="I39" s="11">
        <f t="shared" si="12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0</v>
      </c>
      <c r="E40" s="11">
        <f>F40+G40+H40</f>
        <v>0</v>
      </c>
      <c r="F40" s="17">
        <f>SUM(F41:F45)</f>
        <v>0</v>
      </c>
      <c r="G40" s="17">
        <f>SUM(G41:G45)</f>
        <v>0</v>
      </c>
      <c r="H40" s="17">
        <f>SUM(H41:H45)</f>
        <v>0</v>
      </c>
      <c r="I40" s="11">
        <f t="shared" si="12"/>
        <v>0</v>
      </c>
      <c r="J40" s="17">
        <f>SUM(J41:J45)</f>
        <v>0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0"/>
        <v>0</v>
      </c>
      <c r="E41" s="11">
        <f t="shared" si="11"/>
        <v>0</v>
      </c>
      <c r="F41" s="17"/>
      <c r="G41" s="17"/>
      <c r="H41" s="17"/>
      <c r="I41" s="11">
        <f t="shared" si="12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0"/>
        <v>0</v>
      </c>
      <c r="E42" s="11">
        <f t="shared" si="11"/>
        <v>0</v>
      </c>
      <c r="F42" s="17"/>
      <c r="G42" s="17"/>
      <c r="H42" s="17"/>
      <c r="I42" s="11">
        <f t="shared" si="12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0"/>
        <v>0</v>
      </c>
      <c r="E43" s="11">
        <f t="shared" si="11"/>
        <v>0</v>
      </c>
      <c r="F43" s="17"/>
      <c r="G43" s="17"/>
      <c r="H43" s="17"/>
      <c r="I43" s="11">
        <f t="shared" si="12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0</v>
      </c>
      <c r="E44" s="11">
        <f t="shared" si="11"/>
        <v>0</v>
      </c>
      <c r="F44" s="17"/>
      <c r="G44" s="17"/>
      <c r="H44" s="17"/>
      <c r="I44" s="11">
        <f t="shared" si="12"/>
        <v>0</v>
      </c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1"/>
        <v>0</v>
      </c>
      <c r="F45" s="17"/>
      <c r="G45" s="17"/>
      <c r="H45" s="17"/>
      <c r="I45" s="11">
        <f t="shared" si="12"/>
        <v>0</v>
      </c>
      <c r="J45" s="17"/>
      <c r="K45" s="17"/>
      <c r="L45" s="17"/>
    </row>
    <row r="46" spans="1:12" ht="38.25" x14ac:dyDescent="0.2">
      <c r="A46" s="25" t="s">
        <v>65</v>
      </c>
      <c r="B46" s="23" t="s">
        <v>66</v>
      </c>
      <c r="C46" s="23">
        <v>37</v>
      </c>
      <c r="D46" s="16">
        <f>E46+I46</f>
        <v>0</v>
      </c>
      <c r="E46" s="11">
        <f>F46+G46+H46</f>
        <v>0</v>
      </c>
      <c r="F46" s="25"/>
      <c r="G46" s="25"/>
      <c r="H46" s="25"/>
      <c r="I46" s="11">
        <f t="shared" si="12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6" right="0.75" top="1" bottom="1" header="0.5" footer="0.5"/>
  <pageSetup paperSize="9" scale="53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1"/>
  <sheetViews>
    <sheetView zoomScaleNormal="100" workbookViewId="0">
      <pane ySplit="5" topLeftCell="A6" activePane="bottomLeft" state="frozen"/>
      <selection activeCell="G46" sqref="G46"/>
      <selection pane="bottomLeft" activeCell="I27" sqref="I27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83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19570.700000000004</v>
      </c>
      <c r="E6" s="11">
        <f>F6+G6+H6</f>
        <v>19570.700000000004</v>
      </c>
      <c r="F6" s="12">
        <f>F8+F14+F28+F29+F31+F46</f>
        <v>38</v>
      </c>
      <c r="G6" s="12">
        <f>G8+G14+G28+G29+G31</f>
        <v>16709.600000000002</v>
      </c>
      <c r="H6" s="12">
        <f>H8+H14+H28+H29+H31</f>
        <v>2823.1000000000004</v>
      </c>
      <c r="I6" s="12">
        <f>J6+K6+L6</f>
        <v>0</v>
      </c>
      <c r="J6" s="12">
        <f>SUM(J8+J14+J28+J29+J31)</f>
        <v>0</v>
      </c>
      <c r="K6" s="12">
        <f t="shared" ref="K6:L6" si="0">SUM(K8+K14+K28+K29+K31)</f>
        <v>0</v>
      </c>
      <c r="L6" s="12">
        <f t="shared" si="0"/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15736.800000000001</v>
      </c>
      <c r="E8" s="11">
        <f>F8+G8+H8</f>
        <v>15736.800000000001</v>
      </c>
      <c r="F8" s="11">
        <f>F10+F11+F13</f>
        <v>38</v>
      </c>
      <c r="G8" s="11">
        <f>G10+G11+G13</f>
        <v>15698.800000000001</v>
      </c>
      <c r="H8" s="11">
        <f>H10+H11+H13</f>
        <v>0</v>
      </c>
      <c r="I8" s="11">
        <f>J8+K8+L8</f>
        <v>0</v>
      </c>
      <c r="J8" s="11">
        <f t="shared" ref="J8:L8" si="1">J10+J11+J13</f>
        <v>0</v>
      </c>
      <c r="K8" s="11">
        <f t="shared" si="1"/>
        <v>0</v>
      </c>
      <c r="L8" s="11">
        <f t="shared" si="1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12054.100000000002</v>
      </c>
      <c r="E10" s="11">
        <f>F10+G10+H10</f>
        <v>12054.100000000002</v>
      </c>
      <c r="F10" s="19">
        <v>29.2</v>
      </c>
      <c r="G10" s="17">
        <f>11907.2+117.7</f>
        <v>12024.900000000001</v>
      </c>
      <c r="H10" s="17"/>
      <c r="I10" s="11">
        <f t="shared" ref="I10:I13" si="2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2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3">E12+I12</f>
        <v>0</v>
      </c>
      <c r="E12" s="11">
        <f t="shared" ref="E12" si="4">F12+G12+H12</f>
        <v>0</v>
      </c>
      <c r="F12" s="19"/>
      <c r="G12" s="17"/>
      <c r="H12" s="17"/>
      <c r="I12" s="11">
        <f t="shared" si="2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3"/>
        <v>3682.7000000000003</v>
      </c>
      <c r="E13" s="11">
        <f>F13+G13+H13</f>
        <v>3682.7000000000003</v>
      </c>
      <c r="F13" s="19">
        <v>8.8000000000000007</v>
      </c>
      <c r="G13" s="17">
        <f>3639.5+34.4</f>
        <v>3673.9</v>
      </c>
      <c r="H13" s="17"/>
      <c r="I13" s="11">
        <f t="shared" si="2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2667.6000000000004</v>
      </c>
      <c r="E14" s="11">
        <f>F14+G14+H14</f>
        <v>2667.6000000000004</v>
      </c>
      <c r="F14" s="23">
        <f>F16+F18+F19+F20+F21+F25</f>
        <v>0</v>
      </c>
      <c r="G14" s="23">
        <f t="shared" ref="G14:L14" si="5">G16+G18+G19+G20+G21+G25</f>
        <v>536</v>
      </c>
      <c r="H14" s="23">
        <f t="shared" si="5"/>
        <v>2131.6000000000004</v>
      </c>
      <c r="I14" s="23">
        <f t="shared" si="5"/>
        <v>0</v>
      </c>
      <c r="J14" s="23">
        <f t="shared" si="5"/>
        <v>0</v>
      </c>
      <c r="K14" s="23">
        <f t="shared" si="5"/>
        <v>0</v>
      </c>
      <c r="L14" s="23">
        <f t="shared" si="5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6">E16+I16</f>
        <v>51.2</v>
      </c>
      <c r="E16" s="11">
        <f>F16+G16+H16</f>
        <v>51.2</v>
      </c>
      <c r="F16" s="19"/>
      <c r="G16" s="17">
        <f>17.5</f>
        <v>17.5</v>
      </c>
      <c r="H16" s="17">
        <f>21.2+12.5</f>
        <v>33.700000000000003</v>
      </c>
      <c r="I16" s="11">
        <f t="shared" ref="I16:I27" si="7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6"/>
        <v>0</v>
      </c>
      <c r="E17" s="11">
        <f>F17+G17+H17</f>
        <v>0</v>
      </c>
      <c r="F17" s="19"/>
      <c r="G17" s="17"/>
      <c r="H17" s="17"/>
      <c r="I17" s="11">
        <f t="shared" si="7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6"/>
        <v>0</v>
      </c>
      <c r="E18" s="11">
        <f t="shared" ref="E18:E27" si="8">F18+G18+H18</f>
        <v>0</v>
      </c>
      <c r="F18" s="19"/>
      <c r="G18" s="17"/>
      <c r="H18" s="17"/>
      <c r="I18" s="11">
        <f t="shared" si="7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6"/>
        <v>1664.5000000000002</v>
      </c>
      <c r="E19" s="11">
        <f t="shared" si="8"/>
        <v>1664.5000000000002</v>
      </c>
      <c r="F19" s="19"/>
      <c r="G19" s="17"/>
      <c r="H19" s="17">
        <f>9.4+1461.2+193.9</f>
        <v>1664.5000000000002</v>
      </c>
      <c r="I19" s="11">
        <f t="shared" si="7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6"/>
        <v>0</v>
      </c>
      <c r="E20" s="11">
        <f t="shared" si="8"/>
        <v>0</v>
      </c>
      <c r="F20" s="19"/>
      <c r="G20" s="17"/>
      <c r="H20" s="17"/>
      <c r="I20" s="11">
        <f t="shared" si="7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6"/>
        <v>48.9</v>
      </c>
      <c r="E21" s="11">
        <f t="shared" si="8"/>
        <v>48.9</v>
      </c>
      <c r="F21" s="21">
        <f>F22+F23+F24</f>
        <v>0</v>
      </c>
      <c r="G21" s="21">
        <f t="shared" ref="G21:H21" si="9">G22+G23+G24</f>
        <v>0</v>
      </c>
      <c r="H21" s="21">
        <f t="shared" si="9"/>
        <v>48.9</v>
      </c>
      <c r="I21" s="11">
        <f t="shared" si="7"/>
        <v>0</v>
      </c>
      <c r="J21" s="38">
        <f>SUM(J22:J23)</f>
        <v>0</v>
      </c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6"/>
        <v>48.9</v>
      </c>
      <c r="E22" s="11">
        <f t="shared" si="8"/>
        <v>48.9</v>
      </c>
      <c r="F22" s="19"/>
      <c r="G22" s="17"/>
      <c r="H22" s="17">
        <v>48.9</v>
      </c>
      <c r="I22" s="11">
        <f t="shared" si="7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6"/>
        <v>0</v>
      </c>
      <c r="E23" s="11">
        <f t="shared" si="8"/>
        <v>0</v>
      </c>
      <c r="F23" s="19"/>
      <c r="G23" s="29"/>
      <c r="H23" s="17"/>
      <c r="I23" s="11">
        <f t="shared" si="7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6"/>
        <v>0</v>
      </c>
      <c r="E24" s="11">
        <f t="shared" si="8"/>
        <v>0</v>
      </c>
      <c r="F24" s="19"/>
      <c r="G24" s="17"/>
      <c r="H24" s="17"/>
      <c r="I24" s="11">
        <f t="shared" si="7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903</v>
      </c>
      <c r="E25" s="11">
        <f t="shared" si="8"/>
        <v>903</v>
      </c>
      <c r="F25" s="19"/>
      <c r="G25" s="17">
        <f>518.5</f>
        <v>518.5</v>
      </c>
      <c r="H25" s="17">
        <f>369.5+15</f>
        <v>384.5</v>
      </c>
      <c r="I25" s="11">
        <f t="shared" si="7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6"/>
        <v>45.6</v>
      </c>
      <c r="E26" s="11">
        <f t="shared" si="8"/>
        <v>45.6</v>
      </c>
      <c r="F26" s="19"/>
      <c r="G26" s="17"/>
      <c r="H26" s="17">
        <v>45.6</v>
      </c>
      <c r="I26" s="11">
        <f t="shared" si="7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6"/>
        <v>36</v>
      </c>
      <c r="E27" s="11">
        <f t="shared" si="8"/>
        <v>36</v>
      </c>
      <c r="F27" s="19"/>
      <c r="G27" s="17"/>
      <c r="H27" s="17">
        <v>36</v>
      </c>
      <c r="I27" s="11">
        <f t="shared" si="7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16.899999999999999</v>
      </c>
      <c r="E28" s="35">
        <f>F28+G28+H28</f>
        <v>16.899999999999999</v>
      </c>
      <c r="F28" s="36"/>
      <c r="G28" s="37">
        <f>0</f>
        <v>0</v>
      </c>
      <c r="H28" s="37">
        <v>16.899999999999999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617.29999999999995</v>
      </c>
      <c r="E29" s="35">
        <f>F29+G29+H29</f>
        <v>617.29999999999995</v>
      </c>
      <c r="F29" s="36"/>
      <c r="G29" s="37"/>
      <c r="H29" s="37">
        <v>617.29999999999995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532.1</v>
      </c>
      <c r="E31" s="35">
        <f>F31+G31+H31</f>
        <v>532.1</v>
      </c>
      <c r="F31" s="11">
        <f>SUM(F33+F38+F39+F40)</f>
        <v>0</v>
      </c>
      <c r="G31" s="11">
        <f>G33+G38+G39+G40</f>
        <v>474.8</v>
      </c>
      <c r="H31" s="11">
        <f>SUM(H33+H38+H39+H40)</f>
        <v>57.3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494.5</v>
      </c>
      <c r="E33" s="11">
        <f>F33+G33+H33</f>
        <v>494.5</v>
      </c>
      <c r="F33" s="16">
        <f>SUM(F34:F37)</f>
        <v>0</v>
      </c>
      <c r="G33" s="16">
        <f>SUM(G34:G37)</f>
        <v>474.8</v>
      </c>
      <c r="H33" s="16">
        <f>SUM(H34:H37)</f>
        <v>19.7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0">E34+I34</f>
        <v>0</v>
      </c>
      <c r="E34" s="11">
        <f t="shared" ref="E34:E46" si="11">F34+G34+H34</f>
        <v>0</v>
      </c>
      <c r="F34" s="17"/>
      <c r="G34" s="17"/>
      <c r="H34" s="17"/>
      <c r="I34" s="11">
        <f t="shared" ref="I34:I46" si="12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0"/>
        <v>19.7</v>
      </c>
      <c r="E35" s="11">
        <f t="shared" si="11"/>
        <v>19.7</v>
      </c>
      <c r="F35" s="17"/>
      <c r="G35" s="17"/>
      <c r="H35" s="17">
        <v>19.7</v>
      </c>
      <c r="I35" s="11">
        <f t="shared" si="12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0"/>
        <v>0</v>
      </c>
      <c r="E36" s="11">
        <f t="shared" si="11"/>
        <v>0</v>
      </c>
      <c r="F36" s="17"/>
      <c r="G36" s="17"/>
      <c r="H36" s="17"/>
      <c r="I36" s="11">
        <f t="shared" si="12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0"/>
        <v>474.8</v>
      </c>
      <c r="E37" s="11">
        <f t="shared" si="11"/>
        <v>474.8</v>
      </c>
      <c r="F37" s="17"/>
      <c r="G37" s="17">
        <v>474.8</v>
      </c>
      <c r="H37" s="17"/>
      <c r="I37" s="11">
        <f t="shared" si="12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10"/>
        <v>0</v>
      </c>
      <c r="E38" s="11">
        <f t="shared" si="11"/>
        <v>0</v>
      </c>
      <c r="F38" s="19"/>
      <c r="G38" s="17"/>
      <c r="H38" s="17"/>
      <c r="I38" s="11">
        <f t="shared" si="12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10"/>
        <v>0</v>
      </c>
      <c r="E39" s="11">
        <f t="shared" si="11"/>
        <v>0</v>
      </c>
      <c r="F39" s="17"/>
      <c r="G39" s="17"/>
      <c r="H39" s="17"/>
      <c r="I39" s="11">
        <f t="shared" si="12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37.6</v>
      </c>
      <c r="E40" s="11">
        <f>F40+G40+H40</f>
        <v>37.6</v>
      </c>
      <c r="F40" s="17">
        <f>SUM(F41:F45)</f>
        <v>0</v>
      </c>
      <c r="G40" s="17">
        <f>SUM(G41:G45)</f>
        <v>0</v>
      </c>
      <c r="H40" s="17">
        <f>SUM(H41:H45)</f>
        <v>37.6</v>
      </c>
      <c r="I40" s="11">
        <f t="shared" si="12"/>
        <v>0</v>
      </c>
      <c r="J40" s="17">
        <f>SUM(J41:J45)</f>
        <v>0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0"/>
        <v>10.8</v>
      </c>
      <c r="E41" s="11">
        <f t="shared" si="11"/>
        <v>10.8</v>
      </c>
      <c r="F41" s="17"/>
      <c r="G41" s="17"/>
      <c r="H41" s="17">
        <v>10.8</v>
      </c>
      <c r="I41" s="11">
        <f t="shared" si="12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0"/>
        <v>0</v>
      </c>
      <c r="E42" s="11">
        <f t="shared" si="11"/>
        <v>0</v>
      </c>
      <c r="F42" s="17"/>
      <c r="G42" s="17"/>
      <c r="H42" s="17"/>
      <c r="I42" s="11">
        <f t="shared" si="12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0"/>
        <v>0</v>
      </c>
      <c r="E43" s="11">
        <f t="shared" si="11"/>
        <v>0</v>
      </c>
      <c r="F43" s="17"/>
      <c r="G43" s="17"/>
      <c r="H43" s="17"/>
      <c r="I43" s="11">
        <f t="shared" si="12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26.8</v>
      </c>
      <c r="E44" s="11">
        <f t="shared" si="11"/>
        <v>26.8</v>
      </c>
      <c r="F44" s="17"/>
      <c r="G44" s="17"/>
      <c r="H44" s="17">
        <v>26.8</v>
      </c>
      <c r="I44" s="11">
        <f t="shared" si="12"/>
        <v>0</v>
      </c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1"/>
        <v>0</v>
      </c>
      <c r="F45" s="17"/>
      <c r="G45" s="17"/>
      <c r="H45" s="17"/>
      <c r="I45" s="11">
        <f t="shared" si="12"/>
        <v>0</v>
      </c>
      <c r="J45" s="17"/>
      <c r="K45" s="17"/>
      <c r="L45" s="17"/>
    </row>
    <row r="46" spans="1:12" ht="25.5" x14ac:dyDescent="0.2">
      <c r="A46" s="25" t="s">
        <v>65</v>
      </c>
      <c r="B46" s="23" t="s">
        <v>66</v>
      </c>
      <c r="C46" s="23">
        <v>37</v>
      </c>
      <c r="D46" s="16">
        <f t="shared" si="10"/>
        <v>0</v>
      </c>
      <c r="E46" s="11">
        <f t="shared" si="11"/>
        <v>0</v>
      </c>
      <c r="F46" s="25"/>
      <c r="G46" s="25"/>
      <c r="H46" s="25"/>
      <c r="I46" s="11">
        <f t="shared" si="12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pageSetup paperSize="9" scale="53" orientation="portrait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030A0"/>
  </sheetPr>
  <dimension ref="A1:L48"/>
  <sheetViews>
    <sheetView zoomScaleNormal="100" workbookViewId="0">
      <pane xSplit="3" ySplit="5" topLeftCell="D33" activePane="bottomRight" state="frozen"/>
      <selection activeCell="G46" sqref="G46"/>
      <selection pane="topRight" activeCell="G46" sqref="G46"/>
      <selection pane="bottomLeft" activeCell="G46" sqref="G46"/>
      <selection pane="bottomRight" activeCell="F35" sqref="F35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77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0</v>
      </c>
      <c r="E6" s="11">
        <f>F6+G6+H6</f>
        <v>0</v>
      </c>
      <c r="F6" s="12">
        <f>F8+F14+F28+F29+F31+F46</f>
        <v>0</v>
      </c>
      <c r="G6" s="12">
        <f t="shared" ref="G6:H6" si="0">G8+G14+G28+G29+G31+G46</f>
        <v>0</v>
      </c>
      <c r="H6" s="12">
        <f t="shared" si="0"/>
        <v>0</v>
      </c>
      <c r="I6" s="12">
        <f>J6+K6+L6</f>
        <v>0</v>
      </c>
      <c r="J6" s="12">
        <f>J8+J14+J28+J29+J31+J46</f>
        <v>0</v>
      </c>
      <c r="K6" s="12">
        <f>K8+K14+K28+K29+K31+K46</f>
        <v>0</v>
      </c>
      <c r="L6" s="12">
        <f t="shared" ref="L6" si="1">L8+L14+L28+L29+L31+L46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0</v>
      </c>
      <c r="E8" s="11">
        <f>F8+G8+H8</f>
        <v>0</v>
      </c>
      <c r="F8" s="11">
        <f>SUM(F10:F13)</f>
        <v>0</v>
      </c>
      <c r="G8" s="11">
        <f t="shared" ref="G8:H8" si="2">SUM(G10:G13)</f>
        <v>0</v>
      </c>
      <c r="H8" s="11">
        <f t="shared" si="2"/>
        <v>0</v>
      </c>
      <c r="I8" s="11">
        <f>J8+K8+L8</f>
        <v>0</v>
      </c>
      <c r="J8" s="11">
        <f>SUM(J10:J13)</f>
        <v>0</v>
      </c>
      <c r="K8" s="11">
        <f t="shared" ref="K8:L8" si="3">SUM(K10:K13)</f>
        <v>0</v>
      </c>
      <c r="L8" s="11">
        <f t="shared" si="3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0</v>
      </c>
      <c r="E10" s="11">
        <f>F10+G10+H10</f>
        <v>0</v>
      </c>
      <c r="F10" s="19"/>
      <c r="G10" s="17"/>
      <c r="H10" s="17"/>
      <c r="I10" s="11">
        <f t="shared" ref="I10:I13" si="4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4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5">E12+I12</f>
        <v>0</v>
      </c>
      <c r="E12" s="11">
        <f t="shared" ref="E12" si="6">F12+G12+H12</f>
        <v>0</v>
      </c>
      <c r="F12" s="19"/>
      <c r="G12" s="17"/>
      <c r="H12" s="17"/>
      <c r="I12" s="11">
        <f t="shared" si="4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5"/>
        <v>0</v>
      </c>
      <c r="E13" s="11">
        <f>F13+G13+H13</f>
        <v>0</v>
      </c>
      <c r="F13" s="19"/>
      <c r="G13" s="17"/>
      <c r="H13" s="17"/>
      <c r="I13" s="11">
        <f t="shared" si="4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0</v>
      </c>
      <c r="E14" s="11">
        <f>F14+G14+H14</f>
        <v>0</v>
      </c>
      <c r="F14" s="23">
        <f>F16+F18+F19+F20+F21+F25</f>
        <v>0</v>
      </c>
      <c r="G14" s="23">
        <f t="shared" ref="G14:L14" si="7">G16+G18+G19+G20+G21+G25</f>
        <v>0</v>
      </c>
      <c r="H14" s="23">
        <f t="shared" si="7"/>
        <v>0</v>
      </c>
      <c r="I14" s="23">
        <f t="shared" si="7"/>
        <v>0</v>
      </c>
      <c r="J14" s="23">
        <f t="shared" si="7"/>
        <v>0</v>
      </c>
      <c r="K14" s="23">
        <f t="shared" si="7"/>
        <v>0</v>
      </c>
      <c r="L14" s="23">
        <f t="shared" si="7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8">E16+I16</f>
        <v>0</v>
      </c>
      <c r="E16" s="11">
        <f>F16+G16+H16</f>
        <v>0</v>
      </c>
      <c r="F16" s="19"/>
      <c r="G16" s="17"/>
      <c r="H16" s="17"/>
      <c r="I16" s="11">
        <f t="shared" ref="I16:I27" si="9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8"/>
        <v>0</v>
      </c>
      <c r="E17" s="11">
        <f>F17+G17+H17</f>
        <v>0</v>
      </c>
      <c r="F17" s="19"/>
      <c r="G17" s="17"/>
      <c r="H17" s="17"/>
      <c r="I17" s="11">
        <f t="shared" si="9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8"/>
        <v>0</v>
      </c>
      <c r="E18" s="11">
        <f t="shared" ref="E18:E27" si="10">F18+G18+H18</f>
        <v>0</v>
      </c>
      <c r="F18" s="19"/>
      <c r="G18" s="17"/>
      <c r="H18" s="17"/>
      <c r="I18" s="11">
        <f t="shared" si="9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8"/>
        <v>0</v>
      </c>
      <c r="E19" s="11">
        <f t="shared" si="10"/>
        <v>0</v>
      </c>
      <c r="F19" s="19"/>
      <c r="G19" s="17"/>
      <c r="H19" s="17"/>
      <c r="I19" s="11">
        <f t="shared" si="9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8"/>
        <v>0</v>
      </c>
      <c r="E20" s="11">
        <f t="shared" si="10"/>
        <v>0</v>
      </c>
      <c r="F20" s="19"/>
      <c r="G20" s="17"/>
      <c r="H20" s="17"/>
      <c r="I20" s="11">
        <f t="shared" si="9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8"/>
        <v>0</v>
      </c>
      <c r="E21" s="11">
        <f t="shared" si="10"/>
        <v>0</v>
      </c>
      <c r="F21" s="21">
        <f>F22+F23+F24</f>
        <v>0</v>
      </c>
      <c r="G21" s="21">
        <f t="shared" ref="G21:H21" si="11">G22+G23+G24</f>
        <v>0</v>
      </c>
      <c r="H21" s="21">
        <f t="shared" si="11"/>
        <v>0</v>
      </c>
      <c r="I21" s="11">
        <f t="shared" si="9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8"/>
        <v>0</v>
      </c>
      <c r="E22" s="11">
        <f t="shared" si="10"/>
        <v>0</v>
      </c>
      <c r="F22" s="19"/>
      <c r="G22" s="17"/>
      <c r="H22" s="17"/>
      <c r="I22" s="11">
        <f t="shared" si="9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8"/>
        <v>0</v>
      </c>
      <c r="E23" s="11">
        <f t="shared" si="10"/>
        <v>0</v>
      </c>
      <c r="F23" s="19"/>
      <c r="G23" s="17"/>
      <c r="H23" s="17"/>
      <c r="I23" s="11">
        <f t="shared" si="9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8"/>
        <v>0</v>
      </c>
      <c r="E24" s="11">
        <f t="shared" si="10"/>
        <v>0</v>
      </c>
      <c r="F24" s="19"/>
      <c r="G24" s="17"/>
      <c r="H24" s="17"/>
      <c r="I24" s="11">
        <f t="shared" si="9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0</v>
      </c>
      <c r="E25" s="11">
        <f t="shared" si="10"/>
        <v>0</v>
      </c>
      <c r="F25" s="19"/>
      <c r="G25" s="17"/>
      <c r="H25" s="17"/>
      <c r="I25" s="11">
        <f t="shared" si="9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8"/>
        <v>0</v>
      </c>
      <c r="E26" s="11">
        <f t="shared" si="10"/>
        <v>0</v>
      </c>
      <c r="F26" s="19"/>
      <c r="G26" s="17"/>
      <c r="H26" s="17"/>
      <c r="I26" s="11">
        <f t="shared" si="9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8"/>
        <v>0</v>
      </c>
      <c r="E27" s="11">
        <f t="shared" si="10"/>
        <v>0</v>
      </c>
      <c r="F27" s="19"/>
      <c r="G27" s="17"/>
      <c r="H27" s="17"/>
      <c r="I27" s="11">
        <f t="shared" si="9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0</v>
      </c>
      <c r="E28" s="35">
        <f>F28+G28+H28</f>
        <v>0</v>
      </c>
      <c r="F28" s="36"/>
      <c r="G28" s="37"/>
      <c r="H28" s="37"/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0</v>
      </c>
      <c r="E29" s="35">
        <f>F29+G29+H29</f>
        <v>0</v>
      </c>
      <c r="F29" s="36"/>
      <c r="G29" s="37"/>
      <c r="H29" s="37"/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35">
        <f>F30+G30+H30</f>
        <v>0</v>
      </c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0</v>
      </c>
      <c r="E31" s="35">
        <f>F31+G31+H31</f>
        <v>0</v>
      </c>
      <c r="F31" s="11">
        <f>SUM(F33+F38+F39+F40)</f>
        <v>0</v>
      </c>
      <c r="G31" s="11">
        <f>G33+G38+G39+G40</f>
        <v>0</v>
      </c>
      <c r="H31" s="11">
        <f>SUM(H33+H38+H39+H40)</f>
        <v>0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0</v>
      </c>
      <c r="E33" s="11">
        <f>F33+G33+H33</f>
        <v>0</v>
      </c>
      <c r="F33" s="16">
        <f>SUM(F34:F37)</f>
        <v>0</v>
      </c>
      <c r="G33" s="16">
        <f>SUM(G34:G37)</f>
        <v>0</v>
      </c>
      <c r="H33" s="16">
        <f>SUM(H34:H37)</f>
        <v>0</v>
      </c>
      <c r="I33" s="11">
        <f>J33+K33+L33</f>
        <v>0</v>
      </c>
      <c r="J33" s="29"/>
      <c r="K33" s="16"/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2">E34+I34</f>
        <v>0</v>
      </c>
      <c r="E34" s="11">
        <f t="shared" ref="E34:E46" si="13">F34+G34+H34</f>
        <v>0</v>
      </c>
      <c r="F34" s="17"/>
      <c r="G34" s="17"/>
      <c r="H34" s="17"/>
      <c r="I34" s="11">
        <f t="shared" ref="I34:I46" si="14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2"/>
        <v>0</v>
      </c>
      <c r="E35" s="11">
        <f t="shared" si="13"/>
        <v>0</v>
      </c>
      <c r="F35" s="17"/>
      <c r="G35" s="17"/>
      <c r="H35" s="17"/>
      <c r="I35" s="11">
        <f t="shared" si="14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2"/>
        <v>0</v>
      </c>
      <c r="E36" s="11">
        <f t="shared" si="13"/>
        <v>0</v>
      </c>
      <c r="F36" s="17"/>
      <c r="G36" s="17"/>
      <c r="H36" s="17"/>
      <c r="I36" s="11">
        <f t="shared" si="14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2"/>
        <v>0</v>
      </c>
      <c r="E37" s="11">
        <f t="shared" si="13"/>
        <v>0</v>
      </c>
      <c r="F37" s="17"/>
      <c r="G37" s="17"/>
      <c r="H37" s="17"/>
      <c r="I37" s="11">
        <f t="shared" si="14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12"/>
        <v>0</v>
      </c>
      <c r="E38" s="11">
        <f t="shared" si="13"/>
        <v>0</v>
      </c>
      <c r="F38" s="19"/>
      <c r="G38" s="17"/>
      <c r="H38" s="17"/>
      <c r="I38" s="11">
        <f t="shared" si="14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12"/>
        <v>0</v>
      </c>
      <c r="E39" s="11">
        <f t="shared" si="13"/>
        <v>0</v>
      </c>
      <c r="F39" s="17"/>
      <c r="G39" s="17"/>
      <c r="H39" s="17"/>
      <c r="I39" s="11">
        <f t="shared" si="14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0</v>
      </c>
      <c r="E40" s="11">
        <f>F40+G40+H40</f>
        <v>0</v>
      </c>
      <c r="F40" s="17">
        <f>SUM(F41:F45)</f>
        <v>0</v>
      </c>
      <c r="G40" s="17">
        <f>SUM(G41:G45)</f>
        <v>0</v>
      </c>
      <c r="H40" s="17">
        <f>SUM(H41:H45)</f>
        <v>0</v>
      </c>
      <c r="I40" s="11">
        <f t="shared" si="14"/>
        <v>0</v>
      </c>
      <c r="J40" s="17">
        <f>SUM(J41:J45)</f>
        <v>0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2"/>
        <v>0</v>
      </c>
      <c r="E41" s="11">
        <f t="shared" si="13"/>
        <v>0</v>
      </c>
      <c r="F41" s="17"/>
      <c r="G41" s="17"/>
      <c r="H41" s="17"/>
      <c r="I41" s="11">
        <f t="shared" si="14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2"/>
        <v>0</v>
      </c>
      <c r="E42" s="11">
        <f t="shared" si="13"/>
        <v>0</v>
      </c>
      <c r="F42" s="17"/>
      <c r="G42" s="17"/>
      <c r="H42" s="17"/>
      <c r="I42" s="11">
        <f t="shared" si="14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2"/>
        <v>0</v>
      </c>
      <c r="E43" s="11">
        <f t="shared" si="13"/>
        <v>0</v>
      </c>
      <c r="F43" s="17"/>
      <c r="G43" s="17"/>
      <c r="H43" s="17"/>
      <c r="I43" s="11">
        <f t="shared" si="14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0</v>
      </c>
      <c r="E44" s="11">
        <f t="shared" si="13"/>
        <v>0</v>
      </c>
      <c r="F44" s="17"/>
      <c r="G44" s="17"/>
      <c r="H44" s="17"/>
      <c r="I44" s="11">
        <f t="shared" si="14"/>
        <v>0</v>
      </c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3"/>
        <v>0</v>
      </c>
      <c r="F45" s="17"/>
      <c r="G45" s="17"/>
      <c r="H45" s="17"/>
      <c r="I45" s="11">
        <f t="shared" si="14"/>
        <v>0</v>
      </c>
      <c r="J45" s="17"/>
      <c r="K45" s="17"/>
      <c r="L45" s="17"/>
    </row>
    <row r="46" spans="1:12" ht="38.25" x14ac:dyDescent="0.2">
      <c r="A46" s="25" t="s">
        <v>65</v>
      </c>
      <c r="B46" s="23" t="s">
        <v>66</v>
      </c>
      <c r="C46" s="23">
        <v>37</v>
      </c>
      <c r="D46" s="16">
        <f t="shared" si="12"/>
        <v>0</v>
      </c>
      <c r="E46" s="11">
        <f t="shared" si="13"/>
        <v>0</v>
      </c>
      <c r="F46" s="25"/>
      <c r="G46" s="25"/>
      <c r="H46" s="25"/>
      <c r="I46" s="11">
        <f t="shared" si="14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9" right="0.75" top="1" bottom="1" header="0.5" footer="0.5"/>
  <pageSetup paperSize="9" scale="53" orientation="portrait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48"/>
  <sheetViews>
    <sheetView zoomScaleNormal="100" workbookViewId="0">
      <pane ySplit="6" topLeftCell="A28" activePane="bottomLeft" state="frozen"/>
      <selection activeCell="G46" sqref="G46"/>
      <selection pane="bottomLeft" activeCell="F31" sqref="F31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78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31187.5</v>
      </c>
      <c r="E6" s="11">
        <f>F6+G6+H6</f>
        <v>31187.5</v>
      </c>
      <c r="F6" s="11">
        <f>F8+F14+F28+F29+F31+F46</f>
        <v>63.7</v>
      </c>
      <c r="G6" s="11">
        <f>SUM(G8+G14+G28+G29+G31+G46)</f>
        <v>27492.3</v>
      </c>
      <c r="H6" s="11">
        <f>SUM(H8+H14+H28+H29+H31+H46)</f>
        <v>3631.5</v>
      </c>
      <c r="I6" s="12">
        <f>J6+K6+L6</f>
        <v>0</v>
      </c>
      <c r="J6" s="12">
        <f>SUM(J8+J14+J28+J29+J31)</f>
        <v>0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25874</v>
      </c>
      <c r="E8" s="11">
        <f>F8+G8+H8</f>
        <v>25874</v>
      </c>
      <c r="F8" s="11">
        <f>F10+F11+F13</f>
        <v>63.7</v>
      </c>
      <c r="G8" s="11">
        <f>G10+G11+G13</f>
        <v>25810.3</v>
      </c>
      <c r="H8" s="11">
        <f>H10+H11+H13</f>
        <v>0</v>
      </c>
      <c r="I8" s="11">
        <f>J8+K8+L8</f>
        <v>0</v>
      </c>
      <c r="J8" s="11">
        <f t="shared" ref="J8:L8" si="0">J10+J11+J13</f>
        <v>0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20159.600000000002</v>
      </c>
      <c r="E10" s="11">
        <f>F10+G10+H10</f>
        <v>20159.600000000002</v>
      </c>
      <c r="F10" s="19">
        <v>48.9</v>
      </c>
      <c r="G10" s="17">
        <f>19967+143.7</f>
        <v>20110.7</v>
      </c>
      <c r="H10" s="17"/>
      <c r="I10" s="11">
        <f t="shared" ref="I10:I13" si="1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1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5714.4</v>
      </c>
      <c r="E13" s="11">
        <f>F13+G13+H13</f>
        <v>5714.4</v>
      </c>
      <c r="F13" s="19">
        <f>14.8</f>
        <v>14.8</v>
      </c>
      <c r="G13" s="17">
        <f>5660.2+39.4</f>
        <v>5699.5999999999995</v>
      </c>
      <c r="H13" s="17"/>
      <c r="I13" s="11">
        <f t="shared" si="1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3215.2</v>
      </c>
      <c r="E14" s="11">
        <f>F14+G14+H14</f>
        <v>3215.2</v>
      </c>
      <c r="F14" s="23">
        <f>F16+F18+F19+F20+F21+F25</f>
        <v>0</v>
      </c>
      <c r="G14" s="23">
        <f t="shared" ref="G14:H14" si="3">G16+G18+G19+G20+G21+G25</f>
        <v>791.5</v>
      </c>
      <c r="H14" s="23">
        <f t="shared" si="3"/>
        <v>2423.6999999999998</v>
      </c>
      <c r="I14" s="11">
        <f>J14+K14+L14</f>
        <v>0</v>
      </c>
      <c r="J14" s="23">
        <f>#N/A</f>
        <v>0</v>
      </c>
      <c r="K14" s="23">
        <f>#N/A</f>
        <v>0</v>
      </c>
      <c r="L14" s="23">
        <f>#N/A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4">E16+I16</f>
        <v>59.8</v>
      </c>
      <c r="E16" s="11">
        <f>F16+G16+H16</f>
        <v>59.8</v>
      </c>
      <c r="F16" s="19"/>
      <c r="G16" s="17">
        <v>15</v>
      </c>
      <c r="H16" s="17">
        <f>32.3+12.5</f>
        <v>44.8</v>
      </c>
      <c r="I16" s="11">
        <f t="shared" ref="I16:I27" si="5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4"/>
        <v>0</v>
      </c>
      <c r="E17" s="11">
        <f>F17+G17+H17</f>
        <v>0</v>
      </c>
      <c r="F17" s="19"/>
      <c r="G17" s="17"/>
      <c r="H17" s="17"/>
      <c r="I17" s="11">
        <f t="shared" si="5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4"/>
        <v>22.8</v>
      </c>
      <c r="E18" s="11">
        <f t="shared" ref="E18:E27" si="6">F18+G18+H18</f>
        <v>22.8</v>
      </c>
      <c r="F18" s="19"/>
      <c r="G18" s="17"/>
      <c r="H18" s="17">
        <f>22.8</f>
        <v>22.8</v>
      </c>
      <c r="I18" s="11">
        <f t="shared" si="5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4"/>
        <v>1791.1000000000001</v>
      </c>
      <c r="E19" s="11">
        <f t="shared" si="6"/>
        <v>1791.1000000000001</v>
      </c>
      <c r="F19" s="19"/>
      <c r="G19" s="17">
        <v>134</v>
      </c>
      <c r="H19" s="17">
        <f>6.5+217.7+1432.9</f>
        <v>1657.1000000000001</v>
      </c>
      <c r="I19" s="11">
        <f t="shared" si="5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4"/>
        <v>0</v>
      </c>
      <c r="E20" s="11">
        <f t="shared" si="6"/>
        <v>0</v>
      </c>
      <c r="F20" s="19"/>
      <c r="G20" s="17"/>
      <c r="H20" s="17"/>
      <c r="I20" s="11">
        <f t="shared" si="5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4"/>
        <v>405</v>
      </c>
      <c r="E21" s="11">
        <f>F21+G21+H21</f>
        <v>405</v>
      </c>
      <c r="F21" s="21">
        <f>F22+F23+F24</f>
        <v>0</v>
      </c>
      <c r="G21" s="21">
        <f t="shared" ref="G21:H21" si="7">G22+G23+G24</f>
        <v>0</v>
      </c>
      <c r="H21" s="21">
        <f t="shared" si="7"/>
        <v>405</v>
      </c>
      <c r="I21" s="11">
        <f t="shared" si="5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4"/>
        <v>118.1</v>
      </c>
      <c r="E22" s="11">
        <f t="shared" si="6"/>
        <v>118.1</v>
      </c>
      <c r="F22" s="19"/>
      <c r="G22" s="17"/>
      <c r="H22" s="17">
        <f>118.1</f>
        <v>118.1</v>
      </c>
      <c r="I22" s="11">
        <f t="shared" si="5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4"/>
        <v>286.89999999999998</v>
      </c>
      <c r="E23" s="11">
        <f t="shared" si="6"/>
        <v>286.89999999999998</v>
      </c>
      <c r="F23" s="19"/>
      <c r="G23" s="17"/>
      <c r="H23" s="17">
        <f>286.9</f>
        <v>286.89999999999998</v>
      </c>
      <c r="I23" s="11">
        <f t="shared" si="5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4"/>
        <v>0</v>
      </c>
      <c r="E24" s="11">
        <f t="shared" si="6"/>
        <v>0</v>
      </c>
      <c r="F24" s="19"/>
      <c r="G24" s="17"/>
      <c r="H24" s="17"/>
      <c r="I24" s="11">
        <f t="shared" si="5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936.5</v>
      </c>
      <c r="E25" s="11">
        <f>F25+G25+H25</f>
        <v>936.5</v>
      </c>
      <c r="F25" s="19"/>
      <c r="G25" s="17">
        <f>620.5+22</f>
        <v>642.5</v>
      </c>
      <c r="H25" s="17">
        <f>272+22</f>
        <v>294</v>
      </c>
      <c r="I25" s="11">
        <f t="shared" si="5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4"/>
        <v>0</v>
      </c>
      <c r="E26" s="11">
        <f t="shared" si="6"/>
        <v>0</v>
      </c>
      <c r="F26" s="19"/>
      <c r="G26" s="17"/>
      <c r="H26" s="17"/>
      <c r="I26" s="11">
        <f t="shared" si="5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4"/>
        <v>0</v>
      </c>
      <c r="E27" s="11">
        <f t="shared" si="6"/>
        <v>0</v>
      </c>
      <c r="F27" s="19"/>
      <c r="G27" s="17"/>
      <c r="H27" s="17"/>
      <c r="I27" s="11">
        <f t="shared" si="5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222.5</v>
      </c>
      <c r="E28" s="35">
        <f>F28+G28+H28</f>
        <v>222.5</v>
      </c>
      <c r="F28" s="36"/>
      <c r="G28" s="37">
        <f>196.5</f>
        <v>196.5</v>
      </c>
      <c r="H28" s="37">
        <v>26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1115.9000000000001</v>
      </c>
      <c r="E29" s="35">
        <f>F29+G29+H29</f>
        <v>1115.9000000000001</v>
      </c>
      <c r="F29" s="36"/>
      <c r="G29" s="37"/>
      <c r="H29" s="37">
        <f>1115.9</f>
        <v>1115.9000000000001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759.9</v>
      </c>
      <c r="E31" s="35">
        <f>F31+G31+H31</f>
        <v>759.9</v>
      </c>
      <c r="F31" s="11">
        <f>SUM(F33+F38+F39+F40)</f>
        <v>0</v>
      </c>
      <c r="G31" s="11">
        <f>G33+G38+G39+G40</f>
        <v>694</v>
      </c>
      <c r="H31" s="11">
        <f>SUM(H33+H38+H39+H40)</f>
        <v>65.900000000000006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694</v>
      </c>
      <c r="E33" s="11">
        <f>F33+G33+H33</f>
        <v>694</v>
      </c>
      <c r="F33" s="16">
        <f>SUM(F34:F37)</f>
        <v>0</v>
      </c>
      <c r="G33" s="16">
        <f>SUM(G34:G37)</f>
        <v>694</v>
      </c>
      <c r="H33" s="16">
        <f>SUM(H34:H37)</f>
        <v>0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8">E34+I34</f>
        <v>0</v>
      </c>
      <c r="E34" s="11">
        <f>F34+G34+H34</f>
        <v>0</v>
      </c>
      <c r="F34" s="17"/>
      <c r="G34" s="17"/>
      <c r="H34" s="17"/>
      <c r="I34" s="11">
        <f t="shared" ref="I34:I46" si="9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8"/>
        <v>694</v>
      </c>
      <c r="E35" s="11">
        <f t="shared" ref="E35:E46" si="10">F35+G35+H35</f>
        <v>694</v>
      </c>
      <c r="F35" s="17"/>
      <c r="G35" s="17">
        <v>694</v>
      </c>
      <c r="H35" s="17"/>
      <c r="I35" s="11">
        <f t="shared" si="9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8"/>
        <v>0</v>
      </c>
      <c r="E36" s="11">
        <f>F36+G36+H36</f>
        <v>0</v>
      </c>
      <c r="F36" s="17"/>
      <c r="G36" s="17"/>
      <c r="H36" s="17"/>
      <c r="I36" s="11">
        <f t="shared" si="9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8"/>
        <v>0</v>
      </c>
      <c r="E37" s="11">
        <f t="shared" si="10"/>
        <v>0</v>
      </c>
      <c r="F37" s="17"/>
      <c r="G37" s="17"/>
      <c r="H37" s="17"/>
      <c r="I37" s="11">
        <f t="shared" si="9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8"/>
        <v>0</v>
      </c>
      <c r="E38" s="11">
        <f t="shared" si="10"/>
        <v>0</v>
      </c>
      <c r="F38" s="19"/>
      <c r="G38" s="17"/>
      <c r="H38" s="17"/>
      <c r="I38" s="11">
        <f t="shared" si="9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8"/>
        <v>0</v>
      </c>
      <c r="E39" s="11">
        <f t="shared" si="10"/>
        <v>0</v>
      </c>
      <c r="F39" s="17"/>
      <c r="G39" s="17"/>
      <c r="H39" s="17"/>
      <c r="I39" s="11">
        <f t="shared" si="9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65.900000000000006</v>
      </c>
      <c r="E40" s="11">
        <f>F40+G40+H40</f>
        <v>65.900000000000006</v>
      </c>
      <c r="F40" s="17">
        <f>SUM(F41:F45)</f>
        <v>0</v>
      </c>
      <c r="G40" s="17">
        <f>SUM(G41:G45)</f>
        <v>0</v>
      </c>
      <c r="H40" s="17">
        <f>SUM(H41:H45)</f>
        <v>65.900000000000006</v>
      </c>
      <c r="I40" s="11">
        <f t="shared" si="9"/>
        <v>0</v>
      </c>
      <c r="J40" s="17">
        <f>SUM(J41:J45)</f>
        <v>0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8"/>
        <v>15.7</v>
      </c>
      <c r="E41" s="11">
        <f t="shared" si="10"/>
        <v>15.7</v>
      </c>
      <c r="F41" s="17"/>
      <c r="G41" s="17"/>
      <c r="H41" s="17">
        <v>15.7</v>
      </c>
      <c r="I41" s="11">
        <f t="shared" si="9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8"/>
        <v>0</v>
      </c>
      <c r="E42" s="11">
        <f t="shared" si="10"/>
        <v>0</v>
      </c>
      <c r="F42" s="17"/>
      <c r="G42" s="17"/>
      <c r="H42" s="17"/>
      <c r="I42" s="11">
        <f t="shared" si="9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8"/>
        <v>0</v>
      </c>
      <c r="E43" s="11">
        <f t="shared" si="10"/>
        <v>0</v>
      </c>
      <c r="F43" s="17"/>
      <c r="G43" s="17"/>
      <c r="H43" s="17"/>
      <c r="I43" s="11">
        <f t="shared" si="9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50.2</v>
      </c>
      <c r="E44" s="11">
        <f t="shared" si="10"/>
        <v>50.2</v>
      </c>
      <c r="F44" s="17"/>
      <c r="G44" s="17"/>
      <c r="H44" s="17">
        <v>50.2</v>
      </c>
      <c r="I44" s="11">
        <f t="shared" si="9"/>
        <v>0</v>
      </c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9"/>
        <v>0</v>
      </c>
      <c r="J45" s="17"/>
      <c r="K45" s="17"/>
      <c r="L45" s="17"/>
    </row>
    <row r="46" spans="1:12" ht="38.25" x14ac:dyDescent="0.2">
      <c r="A46" s="25" t="s">
        <v>65</v>
      </c>
      <c r="B46" s="23" t="s">
        <v>66</v>
      </c>
      <c r="C46" s="23">
        <v>37</v>
      </c>
      <c r="D46" s="16">
        <f t="shared" si="8"/>
        <v>0</v>
      </c>
      <c r="E46" s="11">
        <f t="shared" si="10"/>
        <v>0</v>
      </c>
      <c r="F46" s="25"/>
      <c r="G46" s="25"/>
      <c r="H46" s="25"/>
      <c r="I46" s="11">
        <f t="shared" si="9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pageSetup paperSize="9" scale="53" orientation="portrait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030A0"/>
  </sheetPr>
  <dimension ref="A1:L48"/>
  <sheetViews>
    <sheetView zoomScaleNormal="100" workbookViewId="0">
      <pane xSplit="3" ySplit="5" topLeftCell="D33" activePane="bottomRight" state="frozen"/>
      <selection activeCell="G46" sqref="G46"/>
      <selection pane="topRight" activeCell="G46" sqref="G46"/>
      <selection pane="bottomLeft" activeCell="G46" sqref="G46"/>
      <selection pane="bottomRight" activeCell="F27" sqref="F27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79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0</v>
      </c>
      <c r="E6" s="11">
        <f>F6+G6+H6</f>
        <v>0</v>
      </c>
      <c r="F6" s="12">
        <f>F8+F14+F28+F29+F31+F46</f>
        <v>0</v>
      </c>
      <c r="G6" s="12">
        <f>G8+G14+G28+G29+G31</f>
        <v>0</v>
      </c>
      <c r="H6" s="12">
        <f>H8+H14+H28+H29+H31</f>
        <v>0</v>
      </c>
      <c r="I6" s="12">
        <f>J6+K6+L6</f>
        <v>0</v>
      </c>
      <c r="J6" s="12">
        <f>SUM(J8+J14+J28+J29+J31)</f>
        <v>0</v>
      </c>
      <c r="K6" s="12"/>
      <c r="L6" s="12"/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0</v>
      </c>
      <c r="E8" s="11">
        <f>F8+G8+H8</f>
        <v>0</v>
      </c>
      <c r="F8" s="11">
        <f>F10+F11+F13</f>
        <v>0</v>
      </c>
      <c r="G8" s="11">
        <f>G10+G11+G13</f>
        <v>0</v>
      </c>
      <c r="H8" s="11">
        <f>H10+H11+H13</f>
        <v>0</v>
      </c>
      <c r="I8" s="11">
        <f>J8+K8+L8</f>
        <v>0</v>
      </c>
      <c r="J8" s="11">
        <f t="shared" ref="J8:L8" si="0">J10+J11+J13</f>
        <v>0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0</v>
      </c>
      <c r="E10" s="11">
        <f>F10+G10+H10</f>
        <v>0</v>
      </c>
      <c r="F10" s="19"/>
      <c r="G10" s="17"/>
      <c r="H10" s="17"/>
      <c r="I10" s="11">
        <f t="shared" ref="I10:I13" si="1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1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0</v>
      </c>
      <c r="E13" s="11">
        <f>F13+G13+H13</f>
        <v>0</v>
      </c>
      <c r="F13" s="19"/>
      <c r="G13" s="17"/>
      <c r="H13" s="17"/>
      <c r="I13" s="11">
        <f t="shared" si="1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0</v>
      </c>
      <c r="E14" s="11">
        <f>F14+G14+H14</f>
        <v>0</v>
      </c>
      <c r="F14" s="23">
        <f>F16+F18+F19+F20+F21+F25</f>
        <v>0</v>
      </c>
      <c r="G14" s="23">
        <f t="shared" ref="G14:L14" si="4">G16+G18+G19+G20+G21+G25</f>
        <v>0</v>
      </c>
      <c r="H14" s="23">
        <f t="shared" si="4"/>
        <v>0</v>
      </c>
      <c r="I14" s="23">
        <f t="shared" si="4"/>
        <v>0</v>
      </c>
      <c r="J14" s="23">
        <f t="shared" si="4"/>
        <v>0</v>
      </c>
      <c r="K14" s="23">
        <f t="shared" si="4"/>
        <v>0</v>
      </c>
      <c r="L14" s="23">
        <f t="shared" si="4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0</v>
      </c>
      <c r="E16" s="11">
        <f>F16+G16+H16</f>
        <v>0</v>
      </c>
      <c r="F16" s="19"/>
      <c r="G16" s="17"/>
      <c r="H16" s="17"/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0</v>
      </c>
      <c r="E18" s="11">
        <f t="shared" ref="E18:E27" si="7">F18+G18+H18</f>
        <v>0</v>
      </c>
      <c r="F18" s="19"/>
      <c r="G18" s="17"/>
      <c r="H18" s="17"/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0</v>
      </c>
      <c r="E19" s="11">
        <f t="shared" si="7"/>
        <v>0</v>
      </c>
      <c r="F19" s="19"/>
      <c r="G19" s="17"/>
      <c r="H19" s="17"/>
      <c r="I19" s="11">
        <f t="shared" si="6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0</v>
      </c>
      <c r="E21" s="11">
        <f t="shared" si="7"/>
        <v>0</v>
      </c>
      <c r="F21" s="21">
        <f>F22+F23+F24</f>
        <v>0</v>
      </c>
      <c r="G21" s="21">
        <f t="shared" ref="G21:H21" si="8">G22+G23+G24</f>
        <v>0</v>
      </c>
      <c r="H21" s="21">
        <f t="shared" si="8"/>
        <v>0</v>
      </c>
      <c r="I21" s="11">
        <f t="shared" si="6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0</v>
      </c>
      <c r="E22" s="11">
        <f t="shared" si="7"/>
        <v>0</v>
      </c>
      <c r="F22" s="19"/>
      <c r="G22" s="17"/>
      <c r="H22" s="17"/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0</v>
      </c>
      <c r="E23" s="11">
        <f t="shared" si="7"/>
        <v>0</v>
      </c>
      <c r="F23" s="19"/>
      <c r="G23" s="17"/>
      <c r="H23" s="17"/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0</v>
      </c>
      <c r="E25" s="11">
        <f t="shared" si="7"/>
        <v>0</v>
      </c>
      <c r="F25" s="19"/>
      <c r="G25" s="17"/>
      <c r="H25" s="17"/>
      <c r="I25" s="11">
        <f t="shared" si="6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0</v>
      </c>
      <c r="E26" s="11">
        <f t="shared" si="7"/>
        <v>0</v>
      </c>
      <c r="F26" s="19"/>
      <c r="G26" s="17"/>
      <c r="H26" s="17"/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0</v>
      </c>
      <c r="E27" s="11">
        <f t="shared" si="7"/>
        <v>0</v>
      </c>
      <c r="F27" s="19"/>
      <c r="G27" s="17"/>
      <c r="H27" s="17"/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0</v>
      </c>
      <c r="E28" s="35">
        <f>F28+G28+H28</f>
        <v>0</v>
      </c>
      <c r="F28" s="36"/>
      <c r="G28" s="37"/>
      <c r="H28" s="37"/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0</v>
      </c>
      <c r="E29" s="35">
        <f>F29+G29+H29</f>
        <v>0</v>
      </c>
      <c r="F29" s="36"/>
      <c r="G29" s="37"/>
      <c r="H29" s="37"/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0</v>
      </c>
      <c r="E31" s="35">
        <f>F31+G31+H31</f>
        <v>0</v>
      </c>
      <c r="F31" s="11">
        <f>SUM(F33+F38+F39+F40)</f>
        <v>0</v>
      </c>
      <c r="G31" s="11">
        <f>G33+G38+G39+G40</f>
        <v>0</v>
      </c>
      <c r="H31" s="11">
        <f>SUM(H33+H38+H39+H40)</f>
        <v>0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0</v>
      </c>
      <c r="E33" s="11">
        <f>F33+G33+H33</f>
        <v>0</v>
      </c>
      <c r="F33" s="16">
        <f>SUM(F34:F37)</f>
        <v>0</v>
      </c>
      <c r="G33" s="16">
        <f>SUM(G34:G37)</f>
        <v>0</v>
      </c>
      <c r="H33" s="16">
        <f>SUM(H34:H37)</f>
        <v>0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0</v>
      </c>
      <c r="E35" s="11">
        <f t="shared" si="10"/>
        <v>0</v>
      </c>
      <c r="F35" s="17"/>
      <c r="G35" s="17"/>
      <c r="H35" s="17"/>
      <c r="I35" s="11">
        <f t="shared" si="11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0</v>
      </c>
      <c r="E37" s="11">
        <f t="shared" si="10"/>
        <v>0</v>
      </c>
      <c r="F37" s="17"/>
      <c r="G37" s="17"/>
      <c r="H37" s="17"/>
      <c r="I37" s="11">
        <f t="shared" si="11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7"/>
      <c r="I38" s="11">
        <f t="shared" si="11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0</v>
      </c>
      <c r="E40" s="11">
        <f>F40+G40+H40</f>
        <v>0</v>
      </c>
      <c r="F40" s="17">
        <f>SUM(F41:F45)</f>
        <v>0</v>
      </c>
      <c r="G40" s="17">
        <f>SUM(G41:G45)</f>
        <v>0</v>
      </c>
      <c r="H40" s="17">
        <f>SUM(H41:H45)</f>
        <v>0</v>
      </c>
      <c r="I40" s="11">
        <f t="shared" si="11"/>
        <v>0</v>
      </c>
      <c r="J40" s="17">
        <f>SUM(J41:J45)</f>
        <v>0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0</v>
      </c>
      <c r="E41" s="11">
        <f t="shared" si="10"/>
        <v>0</v>
      </c>
      <c r="F41" s="17"/>
      <c r="G41" s="17"/>
      <c r="H41" s="17"/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0</v>
      </c>
      <c r="E43" s="11">
        <f t="shared" si="10"/>
        <v>0</v>
      </c>
      <c r="F43" s="17"/>
      <c r="G43" s="17"/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0</v>
      </c>
      <c r="E44" s="11">
        <f t="shared" si="10"/>
        <v>0</v>
      </c>
      <c r="F44" s="17"/>
      <c r="G44" s="17"/>
      <c r="H44" s="17"/>
      <c r="I44" s="11">
        <f t="shared" si="11"/>
        <v>0</v>
      </c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ht="38.25" x14ac:dyDescent="0.2">
      <c r="A46" s="25" t="s">
        <v>65</v>
      </c>
      <c r="B46" s="23" t="s">
        <v>66</v>
      </c>
      <c r="C46" s="23">
        <v>37</v>
      </c>
      <c r="D46" s="16">
        <f t="shared" si="9"/>
        <v>0</v>
      </c>
      <c r="E46" s="11">
        <f t="shared" si="10"/>
        <v>0</v>
      </c>
      <c r="F46" s="25"/>
      <c r="G46" s="25"/>
      <c r="H46" s="25"/>
      <c r="I46" s="11">
        <f t="shared" si="11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pageSetup paperSize="9" scale="75" orientation="landscape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49"/>
  <sheetViews>
    <sheetView zoomScaleNormal="100" workbookViewId="0">
      <pane xSplit="3" ySplit="5" topLeftCell="E6" activePane="bottomRight" state="frozen"/>
      <selection activeCell="G46" sqref="G46"/>
      <selection pane="topRight" activeCell="G46" sqref="G46"/>
      <selection pane="bottomLeft" activeCell="G46" sqref="G46"/>
      <selection pane="bottomRight" activeCell="J45" sqref="J45"/>
    </sheetView>
  </sheetViews>
  <sheetFormatPr defaultRowHeight="12.75" x14ac:dyDescent="0.2"/>
  <cols>
    <col min="1" max="1" width="41.42578125" customWidth="1"/>
  </cols>
  <sheetData>
    <row r="1" spans="1:12" ht="15.75" x14ac:dyDescent="0.25">
      <c r="A1" s="1" t="s">
        <v>68</v>
      </c>
      <c r="H1" s="2" t="s">
        <v>80</v>
      </c>
      <c r="I1" s="2"/>
      <c r="J1" s="2"/>
      <c r="K1" s="2"/>
    </row>
    <row r="2" spans="1:12" x14ac:dyDescent="0.2">
      <c r="A2" s="2"/>
    </row>
    <row r="3" spans="1:12" ht="12.7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114.7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36120.9</v>
      </c>
      <c r="E6" s="11">
        <f>F6+G6+H6</f>
        <v>35871.5</v>
      </c>
      <c r="F6" s="12">
        <f>F8+F14+F28+F29+F31+F46</f>
        <v>0</v>
      </c>
      <c r="G6" s="12">
        <f>G8+G14+G28+G29+G31</f>
        <v>32327.600000000002</v>
      </c>
      <c r="H6" s="12">
        <f>H8+H14+H28+H29+H31</f>
        <v>3543.9</v>
      </c>
      <c r="I6" s="12">
        <f>J6+K6+L6</f>
        <v>249.39999999999998</v>
      </c>
      <c r="J6" s="12">
        <f>SUM(J8+J14+J28+J29+J31)</f>
        <v>249.39999999999998</v>
      </c>
      <c r="K6" s="12">
        <f t="shared" ref="K6:L6" si="0">SUM(K8+K14+K28+K29+K31)</f>
        <v>0</v>
      </c>
      <c r="L6" s="12">
        <f t="shared" si="0"/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ht="25.5" x14ac:dyDescent="0.2">
      <c r="A8" s="18" t="s">
        <v>16</v>
      </c>
      <c r="B8" s="11">
        <v>210</v>
      </c>
      <c r="C8" s="10" t="s">
        <v>17</v>
      </c>
      <c r="D8" s="11">
        <f>E8+I8</f>
        <v>29466.7</v>
      </c>
      <c r="E8" s="11">
        <f>F8+G8+H8</f>
        <v>29396.400000000001</v>
      </c>
      <c r="F8" s="11">
        <f>F10+F11+F13</f>
        <v>0</v>
      </c>
      <c r="G8" s="11">
        <f>G10+G11+G13</f>
        <v>28995</v>
      </c>
      <c r="H8" s="11">
        <f>H10+H11+H13</f>
        <v>401.4</v>
      </c>
      <c r="I8" s="11">
        <f>J8+K8+L8</f>
        <v>70.3</v>
      </c>
      <c r="J8" s="11">
        <f t="shared" ref="J8:L8" si="1">J10+J11+J13</f>
        <v>70.3</v>
      </c>
      <c r="K8" s="11">
        <f t="shared" si="1"/>
        <v>0</v>
      </c>
      <c r="L8" s="11">
        <f t="shared" si="1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22775.599999999999</v>
      </c>
      <c r="E10" s="11">
        <f>F10+G10+H10</f>
        <v>22721.3</v>
      </c>
      <c r="F10" s="19"/>
      <c r="G10" s="17">
        <f>22085.1+327.9</f>
        <v>22413</v>
      </c>
      <c r="H10" s="17">
        <f>308.3</f>
        <v>308.3</v>
      </c>
      <c r="I10" s="11">
        <f t="shared" ref="I10:I13" si="2">J10+K10+L10</f>
        <v>54.3</v>
      </c>
      <c r="J10" s="17">
        <v>54.3</v>
      </c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2"/>
        <v>0</v>
      </c>
      <c r="J11" s="17"/>
      <c r="K11" s="17"/>
      <c r="L11" s="17"/>
    </row>
    <row r="12" spans="1:12" ht="38.25" x14ac:dyDescent="0.2">
      <c r="A12" s="20" t="s">
        <v>22</v>
      </c>
      <c r="B12" s="14"/>
      <c r="C12" s="15" t="s">
        <v>23</v>
      </c>
      <c r="D12" s="16">
        <f t="shared" ref="D12:D13" si="3">E12+I12</f>
        <v>0</v>
      </c>
      <c r="E12" s="11">
        <f t="shared" ref="E12" si="4">F12+G12+H12</f>
        <v>0</v>
      </c>
      <c r="F12" s="19"/>
      <c r="G12" s="17"/>
      <c r="H12" s="17"/>
      <c r="I12" s="11">
        <f t="shared" si="2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3"/>
        <v>6691.1</v>
      </c>
      <c r="E13" s="11">
        <f>F13+G13+H13</f>
        <v>6675.1</v>
      </c>
      <c r="F13" s="19"/>
      <c r="G13" s="17">
        <f>6483+99</f>
        <v>6582</v>
      </c>
      <c r="H13" s="17">
        <f>93.1</f>
        <v>93.1</v>
      </c>
      <c r="I13" s="11">
        <f t="shared" si="2"/>
        <v>16</v>
      </c>
      <c r="J13" s="17">
        <v>16</v>
      </c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4712</v>
      </c>
      <c r="E14" s="11">
        <f>F14+G14+H14</f>
        <v>4626.6000000000004</v>
      </c>
      <c r="F14" s="23">
        <f>F16+F18+F19+F20+F21+F25</f>
        <v>0</v>
      </c>
      <c r="G14" s="23">
        <f>G16+G18+G19+G20+G21+G25</f>
        <v>2113.7000000000003</v>
      </c>
      <c r="H14" s="23">
        <f>H16+H18+H19+H20+H21+H25</f>
        <v>2512.9</v>
      </c>
      <c r="I14" s="11">
        <f>J14+K14+L14</f>
        <v>85.4</v>
      </c>
      <c r="J14" s="23">
        <f>J16+J18+J19+J20+J21+J25</f>
        <v>85.4</v>
      </c>
      <c r="K14" s="23">
        <f>K16+K18+K19+K20+K21+K25</f>
        <v>0</v>
      </c>
      <c r="L14" s="23">
        <f>L16+L18+L19+L20+L21+L25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45.599999999999994</v>
      </c>
      <c r="E16" s="11">
        <f>F16+G16+H16</f>
        <v>45.599999999999994</v>
      </c>
      <c r="F16" s="19"/>
      <c r="G16" s="17">
        <v>17.399999999999999</v>
      </c>
      <c r="H16" s="17">
        <f>15.7+12.5</f>
        <v>28.2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0.3</v>
      </c>
      <c r="E18" s="11">
        <f t="shared" ref="E18:E27" si="7">F18+G18+H18</f>
        <v>0.3</v>
      </c>
      <c r="F18" s="19"/>
      <c r="G18" s="17"/>
      <c r="H18" s="17">
        <v>0.3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1965.4</v>
      </c>
      <c r="E19" s="11">
        <f t="shared" si="7"/>
        <v>1905</v>
      </c>
      <c r="F19" s="19"/>
      <c r="G19" s="17"/>
      <c r="H19" s="17">
        <f>31.3+304.8+1568.9</f>
        <v>1905</v>
      </c>
      <c r="I19" s="11">
        <f t="shared" si="6"/>
        <v>60.400000000000006</v>
      </c>
      <c r="J19" s="17">
        <f>9.8+50.6</f>
        <v>60.400000000000006</v>
      </c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580.70000000000005</v>
      </c>
      <c r="E21" s="11">
        <f t="shared" si="7"/>
        <v>580.70000000000005</v>
      </c>
      <c r="F21" s="21">
        <f>F22+F23+F24</f>
        <v>0</v>
      </c>
      <c r="G21" s="21">
        <f>G22+G23+G24</f>
        <v>500</v>
      </c>
      <c r="H21" s="21">
        <f t="shared" ref="H21:L21" si="8">H22+H23+H24</f>
        <v>80.7</v>
      </c>
      <c r="I21" s="11">
        <f t="shared" si="6"/>
        <v>0</v>
      </c>
      <c r="J21" s="21">
        <f t="shared" si="8"/>
        <v>0</v>
      </c>
      <c r="K21" s="21">
        <f t="shared" si="8"/>
        <v>0</v>
      </c>
      <c r="L21" s="21">
        <f t="shared" si="8"/>
        <v>0</v>
      </c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80.7</v>
      </c>
      <c r="E22" s="11">
        <f t="shared" si="7"/>
        <v>80.7</v>
      </c>
      <c r="F22" s="19"/>
      <c r="G22" s="17"/>
      <c r="H22" s="17">
        <f>80.7</f>
        <v>80.7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500</v>
      </c>
      <c r="E23" s="11">
        <f t="shared" si="7"/>
        <v>500</v>
      </c>
      <c r="F23" s="19"/>
      <c r="G23" s="17">
        <v>500</v>
      </c>
      <c r="H23" s="17"/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2120</v>
      </c>
      <c r="E25" s="11">
        <f t="shared" si="7"/>
        <v>2095</v>
      </c>
      <c r="F25" s="19"/>
      <c r="G25" s="17">
        <f>1423.4+48.4+94.5+30</f>
        <v>1596.3000000000002</v>
      </c>
      <c r="H25" s="17">
        <f>398.7+100</f>
        <v>498.7</v>
      </c>
      <c r="I25" s="11">
        <f t="shared" si="6"/>
        <v>25</v>
      </c>
      <c r="J25" s="17">
        <v>25</v>
      </c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0</v>
      </c>
      <c r="E26" s="11">
        <f t="shared" si="7"/>
        <v>0</v>
      </c>
      <c r="F26" s="19"/>
      <c r="G26" s="17"/>
      <c r="H26" s="17"/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0</v>
      </c>
      <c r="E27" s="11">
        <f t="shared" si="7"/>
        <v>0</v>
      </c>
      <c r="F27" s="19"/>
      <c r="G27" s="17"/>
      <c r="H27" s="17"/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38.299999999999997</v>
      </c>
      <c r="E28" s="35">
        <f>F28+G28+H28</f>
        <v>38.299999999999997</v>
      </c>
      <c r="F28" s="36"/>
      <c r="G28" s="37">
        <v>1.9</v>
      </c>
      <c r="H28" s="37">
        <v>36.4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399.5</v>
      </c>
      <c r="E29" s="35">
        <f>F29+G29+H29</f>
        <v>399.5</v>
      </c>
      <c r="F29" s="36"/>
      <c r="G29" s="37"/>
      <c r="H29" s="37">
        <f>399.5</f>
        <v>399.5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1504.4</v>
      </c>
      <c r="E31" s="35">
        <f>F31+G31+H31</f>
        <v>1410.7</v>
      </c>
      <c r="F31" s="11">
        <f>SUM(F33+F38+F39+F40)</f>
        <v>0</v>
      </c>
      <c r="G31" s="11">
        <f t="shared" ref="G31:H31" si="9">SUM(G33+G38+G39+G40)</f>
        <v>1217</v>
      </c>
      <c r="H31" s="11">
        <f t="shared" si="9"/>
        <v>193.7</v>
      </c>
      <c r="I31" s="11">
        <f>J31+K31+L31</f>
        <v>93.7</v>
      </c>
      <c r="J31" s="11">
        <f>J33+J38+J40</f>
        <v>93.7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ht="25.5" x14ac:dyDescent="0.2">
      <c r="A33" s="20" t="s">
        <v>52</v>
      </c>
      <c r="B33" s="16">
        <v>310</v>
      </c>
      <c r="C33" s="24">
        <v>24</v>
      </c>
      <c r="D33" s="16">
        <f>E33+I33</f>
        <v>1316.8</v>
      </c>
      <c r="E33" s="11">
        <f>F33+G33+H33</f>
        <v>1316.8</v>
      </c>
      <c r="F33" s="16">
        <f>SUM(F34:F37)</f>
        <v>0</v>
      </c>
      <c r="G33" s="16">
        <f>SUM(G34:G37)</f>
        <v>1217</v>
      </c>
      <c r="H33" s="16">
        <f>SUM(H34:H37)</f>
        <v>99.8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0">E34+I34</f>
        <v>0</v>
      </c>
      <c r="E34" s="11">
        <f t="shared" ref="E34:E46" si="11">F34+G34+H34</f>
        <v>0</v>
      </c>
      <c r="F34" s="17"/>
      <c r="G34" s="17"/>
      <c r="H34" s="17"/>
      <c r="I34" s="11">
        <f t="shared" ref="I34:I46" si="12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0"/>
        <v>1316.8</v>
      </c>
      <c r="E35" s="11">
        <f t="shared" si="11"/>
        <v>1316.8</v>
      </c>
      <c r="F35" s="17"/>
      <c r="G35" s="17">
        <v>1217</v>
      </c>
      <c r="H35" s="17">
        <v>99.8</v>
      </c>
      <c r="I35" s="11">
        <f t="shared" si="12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0"/>
        <v>0</v>
      </c>
      <c r="E36" s="11">
        <f t="shared" si="11"/>
        <v>0</v>
      </c>
      <c r="F36" s="17"/>
      <c r="G36" s="17"/>
      <c r="H36" s="17"/>
      <c r="I36" s="11">
        <f t="shared" si="12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0"/>
        <v>0</v>
      </c>
      <c r="E37" s="11">
        <f t="shared" si="11"/>
        <v>0</v>
      </c>
      <c r="F37" s="17"/>
      <c r="G37" s="17"/>
      <c r="H37" s="17"/>
      <c r="I37" s="11">
        <f t="shared" si="12"/>
        <v>0</v>
      </c>
      <c r="J37" s="17"/>
      <c r="K37" s="17"/>
      <c r="L37" s="17"/>
    </row>
    <row r="38" spans="1:12" ht="25.5" x14ac:dyDescent="0.2">
      <c r="A38" s="31" t="s">
        <v>57</v>
      </c>
      <c r="B38" s="19">
        <v>320</v>
      </c>
      <c r="C38" s="24">
        <v>29</v>
      </c>
      <c r="D38" s="16">
        <f t="shared" si="10"/>
        <v>0</v>
      </c>
      <c r="E38" s="11">
        <f t="shared" si="11"/>
        <v>0</v>
      </c>
      <c r="F38" s="19"/>
      <c r="G38" s="17"/>
      <c r="H38" s="17"/>
      <c r="I38" s="11">
        <f t="shared" si="12"/>
        <v>0</v>
      </c>
      <c r="J38" s="17"/>
      <c r="K38" s="17"/>
      <c r="L38" s="17"/>
    </row>
    <row r="39" spans="1:12" ht="25.5" x14ac:dyDescent="0.2">
      <c r="A39" s="31" t="s">
        <v>58</v>
      </c>
      <c r="B39" s="19">
        <v>330</v>
      </c>
      <c r="C39" s="28">
        <v>30</v>
      </c>
      <c r="D39" s="16">
        <f t="shared" si="10"/>
        <v>0</v>
      </c>
      <c r="E39" s="11">
        <f t="shared" si="11"/>
        <v>0</v>
      </c>
      <c r="F39" s="17"/>
      <c r="G39" s="17"/>
      <c r="H39" s="17"/>
      <c r="I39" s="11">
        <f t="shared" si="12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187.60000000000002</v>
      </c>
      <c r="E40" s="11">
        <f>F40+G40+H40</f>
        <v>93.9</v>
      </c>
      <c r="F40" s="17">
        <f>SUM(F41:F45)</f>
        <v>0</v>
      </c>
      <c r="G40" s="17">
        <f>SUM(G41:G46)</f>
        <v>0</v>
      </c>
      <c r="H40" s="17">
        <f>SUM(H41:H46)</f>
        <v>93.9</v>
      </c>
      <c r="I40" s="11">
        <f t="shared" si="12"/>
        <v>93.7</v>
      </c>
      <c r="J40" s="17">
        <f>SUM(J41:J46)</f>
        <v>93.7</v>
      </c>
      <c r="K40" s="17">
        <f>SUM(K41:K46)</f>
        <v>0</v>
      </c>
      <c r="L40" s="17">
        <f>SUM(L41:L46)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0"/>
        <v>0</v>
      </c>
      <c r="E41" s="11">
        <f t="shared" si="11"/>
        <v>0</v>
      </c>
      <c r="F41" s="17"/>
      <c r="G41" s="17"/>
      <c r="H41" s="17"/>
      <c r="I41" s="11">
        <f t="shared" si="12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0"/>
        <v>0</v>
      </c>
      <c r="E42" s="11">
        <f t="shared" si="11"/>
        <v>0</v>
      </c>
      <c r="F42" s="17"/>
      <c r="G42" s="17"/>
      <c r="H42" s="17"/>
      <c r="I42" s="11">
        <f t="shared" si="12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0"/>
        <v>0</v>
      </c>
      <c r="E43" s="11">
        <f t="shared" si="11"/>
        <v>0</v>
      </c>
      <c r="F43" s="17"/>
      <c r="G43" s="17"/>
      <c r="H43" s="17"/>
      <c r="I43" s="11">
        <f t="shared" si="12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187.60000000000002</v>
      </c>
      <c r="E44" s="11">
        <f t="shared" si="11"/>
        <v>93.9</v>
      </c>
      <c r="F44" s="17"/>
      <c r="G44" s="17"/>
      <c r="H44" s="17">
        <v>93.9</v>
      </c>
      <c r="I44" s="11">
        <f t="shared" si="12"/>
        <v>93.7</v>
      </c>
      <c r="J44" s="17">
        <f>82.4+11.3</f>
        <v>93.7</v>
      </c>
      <c r="K44" s="17"/>
      <c r="L44" s="17"/>
    </row>
    <row r="45" spans="1:12" x14ac:dyDescent="0.2">
      <c r="A45" s="14" t="s">
        <v>81</v>
      </c>
      <c r="B45" s="19"/>
      <c r="C45" s="28"/>
      <c r="D45" s="16">
        <f>E45+I45</f>
        <v>0</v>
      </c>
      <c r="E45" s="11">
        <f t="shared" si="11"/>
        <v>0</v>
      </c>
      <c r="F45" s="17"/>
      <c r="G45" s="17"/>
      <c r="H45" s="17"/>
      <c r="I45" s="11">
        <f t="shared" si="12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10"/>
        <v>0</v>
      </c>
      <c r="E46" s="11">
        <f t="shared" si="11"/>
        <v>0</v>
      </c>
      <c r="F46" s="17"/>
      <c r="G46" s="17"/>
      <c r="H46" s="17"/>
      <c r="I46" s="11">
        <f t="shared" si="12"/>
        <v>0</v>
      </c>
      <c r="J46" s="17"/>
      <c r="K46" s="17"/>
      <c r="L46" s="17"/>
    </row>
    <row r="47" spans="1:12" ht="38.2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pageSetup paperSize="9" scale="61" orientation="portrait" verticalDpi="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abSelected="1" zoomScaleNormal="100" workbookViewId="0">
      <selection activeCell="G46" sqref="G46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20.25" customHeight="1" x14ac:dyDescent="0.25">
      <c r="A1" s="1" t="s">
        <v>68</v>
      </c>
      <c r="H1" s="2" t="s">
        <v>67</v>
      </c>
      <c r="I1" s="2"/>
      <c r="J1" s="2"/>
      <c r="K1" s="2"/>
    </row>
    <row r="2" spans="1:12" x14ac:dyDescent="0.2">
      <c r="A2" s="2"/>
    </row>
    <row r="3" spans="1:12" ht="58.5" customHeight="1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2" customHeight="1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ht="39.75" customHeight="1" x14ac:dyDescent="0.2">
      <c r="A6" s="8" t="s">
        <v>13</v>
      </c>
      <c r="B6" s="9"/>
      <c r="C6" s="10" t="s">
        <v>14</v>
      </c>
      <c r="D6" s="11">
        <f>E6+I6</f>
        <v>0</v>
      </c>
      <c r="E6" s="11">
        <f>F6+G6+H6</f>
        <v>0</v>
      </c>
      <c r="F6" s="12">
        <f>F8+F14+F28+F29+F31</f>
        <v>0</v>
      </c>
      <c r="G6" s="12"/>
      <c r="H6" s="12"/>
      <c r="I6" s="12">
        <f>J6+K6+L6</f>
        <v>0</v>
      </c>
      <c r="J6" s="12"/>
      <c r="K6" s="12"/>
      <c r="L6" s="12"/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0</v>
      </c>
      <c r="E8" s="11">
        <f>F8+G8+H8</f>
        <v>0</v>
      </c>
      <c r="F8" s="11">
        <f>#N/A</f>
        <v>0</v>
      </c>
      <c r="G8" s="11">
        <f>#N/A</f>
        <v>0</v>
      </c>
      <c r="H8" s="11">
        <f>#N/A</f>
        <v>0</v>
      </c>
      <c r="I8" s="11">
        <f>#N/A</f>
        <v>0</v>
      </c>
      <c r="J8" s="11">
        <f>#N/A</f>
        <v>0</v>
      </c>
      <c r="K8" s="11">
        <f>#N/A</f>
        <v>0</v>
      </c>
      <c r="L8" s="11">
        <f>#N/A</f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ht="15" customHeight="1" x14ac:dyDescent="0.2">
      <c r="A10" s="13" t="s">
        <v>18</v>
      </c>
      <c r="B10" s="14">
        <v>211</v>
      </c>
      <c r="C10" s="15" t="s">
        <v>19</v>
      </c>
      <c r="D10" s="16">
        <f>E10+I10</f>
        <v>0</v>
      </c>
      <c r="E10" s="16">
        <f>F10+G10+H10</f>
        <v>0</v>
      </c>
      <c r="F10" s="19"/>
      <c r="G10" s="17"/>
      <c r="H10" s="17"/>
      <c r="I10" s="17">
        <f>J10+K10+L10</f>
        <v>0</v>
      </c>
      <c r="J10" s="17"/>
      <c r="K10" s="17"/>
      <c r="L10" s="17"/>
    </row>
    <row r="11" spans="1:12" ht="15" customHeight="1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6">
        <f>F11+G11+H11</f>
        <v>0</v>
      </c>
      <c r="F11" s="19"/>
      <c r="G11" s="17"/>
      <c r="H11" s="17"/>
      <c r="I11" s="17">
        <f>J11+K11+L11</f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>E12+I12</f>
        <v>0</v>
      </c>
      <c r="E12" s="16">
        <f>F12+G12+H12</f>
        <v>0</v>
      </c>
      <c r="F12" s="19"/>
      <c r="G12" s="17"/>
      <c r="H12" s="17"/>
      <c r="I12" s="17">
        <f>J12+K12+L12</f>
        <v>0</v>
      </c>
      <c r="J12" s="17"/>
      <c r="K12" s="17"/>
      <c r="L12" s="17"/>
    </row>
    <row r="13" spans="1:12" ht="15" customHeight="1" x14ac:dyDescent="0.2">
      <c r="A13" s="20" t="s">
        <v>24</v>
      </c>
      <c r="B13" s="21">
        <v>213</v>
      </c>
      <c r="C13" s="22" t="s">
        <v>25</v>
      </c>
      <c r="D13" s="16">
        <f>E13+I13</f>
        <v>0</v>
      </c>
      <c r="E13" s="16">
        <f>F13+G13+H13</f>
        <v>0</v>
      </c>
      <c r="F13" s="19"/>
      <c r="G13" s="17"/>
      <c r="H13" s="17"/>
      <c r="I13" s="17">
        <f>J13+K13+L13</f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F14+G14+I14+K14+L14</f>
        <v>0</v>
      </c>
      <c r="E14" s="11"/>
      <c r="F14" s="23">
        <f>F16+F18+F19+F20+F21+F25</f>
        <v>0</v>
      </c>
      <c r="G14" s="23">
        <f t="shared" ref="G14:H14" si="0">G16+G18+G19+G20+G21+G25</f>
        <v>0</v>
      </c>
      <c r="H14" s="23">
        <f t="shared" si="0"/>
        <v>0</v>
      </c>
      <c r="I14" s="23">
        <f>I16+I18+I19+I20+I21+I25</f>
        <v>0</v>
      </c>
      <c r="J14" s="23">
        <f>J16+J18+J19+J20+J21+J25</f>
        <v>0</v>
      </c>
      <c r="K14" s="23">
        <f>K16+K18+K19+K20+K21+K25</f>
        <v>0</v>
      </c>
      <c r="L14" s="23">
        <f>L16+L18+L19+L20+L21+L25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ht="15" customHeight="1" x14ac:dyDescent="0.2">
      <c r="A16" s="20" t="s">
        <v>28</v>
      </c>
      <c r="B16" s="14">
        <v>221</v>
      </c>
      <c r="C16" s="15" t="s">
        <v>29</v>
      </c>
      <c r="D16" s="16">
        <f>E16+I16</f>
        <v>0</v>
      </c>
      <c r="E16" s="16">
        <f>F16+G16+H16</f>
        <v>0</v>
      </c>
      <c r="F16" s="19"/>
      <c r="G16" s="17"/>
      <c r="H16" s="17"/>
      <c r="I16" s="17">
        <f>J16+K16+L16</f>
        <v>0</v>
      </c>
      <c r="J16" s="17"/>
      <c r="K16" s="17"/>
      <c r="L16" s="17"/>
    </row>
    <row r="17" spans="1:12" ht="42.75" customHeight="1" x14ac:dyDescent="0.2">
      <c r="A17" s="14" t="s">
        <v>30</v>
      </c>
      <c r="B17" s="14"/>
      <c r="C17" s="15" t="s">
        <v>31</v>
      </c>
      <c r="D17" s="16"/>
      <c r="E17" s="16"/>
      <c r="F17" s="19"/>
      <c r="G17" s="17"/>
      <c r="H17" s="17"/>
      <c r="I17" s="17"/>
      <c r="J17" s="17"/>
      <c r="K17" s="17"/>
      <c r="L17" s="17"/>
    </row>
    <row r="18" spans="1:12" ht="15" customHeight="1" x14ac:dyDescent="0.2">
      <c r="A18" s="20" t="s">
        <v>32</v>
      </c>
      <c r="B18" s="14">
        <v>222</v>
      </c>
      <c r="C18" s="15" t="s">
        <v>33</v>
      </c>
      <c r="D18" s="16">
        <f>E18+I18</f>
        <v>0</v>
      </c>
      <c r="E18" s="16">
        <f>F18+G18+H18</f>
        <v>0</v>
      </c>
      <c r="F18" s="19"/>
      <c r="G18" s="17"/>
      <c r="H18" s="17"/>
      <c r="I18" s="17">
        <f>J18+K18+L18</f>
        <v>0</v>
      </c>
      <c r="J18" s="17"/>
      <c r="K18" s="17"/>
      <c r="L18" s="17"/>
    </row>
    <row r="19" spans="1:12" ht="15" customHeight="1" x14ac:dyDescent="0.2">
      <c r="A19" s="20" t="s">
        <v>34</v>
      </c>
      <c r="B19" s="14">
        <v>223</v>
      </c>
      <c r="C19" s="15" t="s">
        <v>35</v>
      </c>
      <c r="D19" s="16">
        <f>E19+I19</f>
        <v>0</v>
      </c>
      <c r="E19" s="16">
        <f>F19+G19+H19</f>
        <v>0</v>
      </c>
      <c r="F19" s="19"/>
      <c r="G19" s="17"/>
      <c r="H19" s="17"/>
      <c r="I19" s="17">
        <f>J19+K19+L19</f>
        <v>0</v>
      </c>
      <c r="J19" s="17"/>
      <c r="K19" s="17"/>
      <c r="L19" s="17"/>
    </row>
    <row r="20" spans="1:12" ht="15" customHeight="1" x14ac:dyDescent="0.2">
      <c r="A20" s="20" t="s">
        <v>36</v>
      </c>
      <c r="B20" s="14">
        <v>224</v>
      </c>
      <c r="C20" s="15" t="s">
        <v>37</v>
      </c>
      <c r="D20" s="16"/>
      <c r="E20" s="16"/>
      <c r="F20" s="19"/>
      <c r="G20" s="17"/>
      <c r="H20" s="17"/>
      <c r="I20" s="17"/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/>
      <c r="E21" s="16"/>
      <c r="F21" s="21">
        <f>F22+F23+F24</f>
        <v>0</v>
      </c>
      <c r="G21" s="21">
        <f t="shared" ref="G21:H21" si="1">G22+G23+G24</f>
        <v>0</v>
      </c>
      <c r="H21" s="21">
        <f t="shared" si="1"/>
        <v>0</v>
      </c>
      <c r="I21" s="21"/>
      <c r="J21" s="21"/>
      <c r="K21" s="21"/>
      <c r="L21" s="21"/>
    </row>
    <row r="22" spans="1:12" ht="15" customHeight="1" x14ac:dyDescent="0.2">
      <c r="A22" s="14" t="s">
        <v>40</v>
      </c>
      <c r="B22" s="14"/>
      <c r="C22" s="15" t="s">
        <v>41</v>
      </c>
      <c r="D22" s="16"/>
      <c r="E22" s="16"/>
      <c r="F22" s="19"/>
      <c r="G22" s="17"/>
      <c r="H22" s="17"/>
      <c r="I22" s="17"/>
      <c r="J22" s="17"/>
      <c r="K22" s="17"/>
      <c r="L22" s="17"/>
    </row>
    <row r="23" spans="1:12" ht="15" customHeight="1" x14ac:dyDescent="0.2">
      <c r="A23" s="14" t="s">
        <v>42</v>
      </c>
      <c r="B23" s="14"/>
      <c r="C23" s="15" t="s">
        <v>43</v>
      </c>
      <c r="D23" s="16"/>
      <c r="E23" s="16"/>
      <c r="F23" s="19"/>
      <c r="G23" s="17"/>
      <c r="H23" s="17"/>
      <c r="I23" s="17"/>
      <c r="J23" s="17"/>
      <c r="K23" s="17"/>
      <c r="L23" s="17"/>
    </row>
    <row r="24" spans="1:12" ht="15" customHeight="1" x14ac:dyDescent="0.2">
      <c r="A24" s="14" t="s">
        <v>44</v>
      </c>
      <c r="B24" s="14"/>
      <c r="C24" s="24">
        <v>16</v>
      </c>
      <c r="D24" s="16"/>
      <c r="E24" s="16"/>
      <c r="F24" s="19"/>
      <c r="G24" s="17"/>
      <c r="H24" s="17"/>
      <c r="I24" s="17"/>
      <c r="J24" s="17"/>
      <c r="K24" s="17"/>
      <c r="L24" s="17"/>
    </row>
    <row r="25" spans="1:12" ht="15" customHeight="1" x14ac:dyDescent="0.2">
      <c r="A25" s="20" t="s">
        <v>45</v>
      </c>
      <c r="B25" s="14">
        <v>226</v>
      </c>
      <c r="C25" s="24">
        <v>17</v>
      </c>
      <c r="D25" s="16">
        <f>E25+I25</f>
        <v>0</v>
      </c>
      <c r="E25" s="16">
        <f>F25+G25+H25</f>
        <v>0</v>
      </c>
      <c r="F25" s="19"/>
      <c r="G25" s="17"/>
      <c r="H25" s="17"/>
      <c r="I25" s="17">
        <f>J25+K25+L25</f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/>
      <c r="E26" s="16"/>
      <c r="F26" s="19"/>
      <c r="G26" s="17"/>
      <c r="H26" s="17"/>
      <c r="I26" s="17"/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/>
      <c r="E27" s="16"/>
      <c r="F27" s="19"/>
      <c r="G27" s="17"/>
      <c r="H27" s="17"/>
      <c r="I27" s="17"/>
      <c r="J27" s="17"/>
      <c r="K27" s="17"/>
      <c r="L27" s="17"/>
    </row>
    <row r="28" spans="1:12" ht="15" customHeight="1" x14ac:dyDescent="0.2">
      <c r="A28" s="18" t="s">
        <v>48</v>
      </c>
      <c r="B28" s="11">
        <v>260</v>
      </c>
      <c r="C28" s="11">
        <v>20</v>
      </c>
      <c r="D28" s="35">
        <f>E28+I28</f>
        <v>0</v>
      </c>
      <c r="E28" s="35">
        <f>F28+G28+H28</f>
        <v>0</v>
      </c>
      <c r="F28" s="36"/>
      <c r="G28" s="37"/>
      <c r="H28" s="37"/>
      <c r="I28" s="37">
        <f>J28+K28+L28</f>
        <v>0</v>
      </c>
      <c r="J28" s="25"/>
      <c r="K28" s="25"/>
      <c r="L28" s="25"/>
    </row>
    <row r="29" spans="1:12" ht="15" customHeight="1" x14ac:dyDescent="0.2">
      <c r="A29" s="18" t="s">
        <v>49</v>
      </c>
      <c r="B29" s="11">
        <v>290</v>
      </c>
      <c r="C29" s="11">
        <v>21</v>
      </c>
      <c r="D29" s="35">
        <f>E29+I29</f>
        <v>0</v>
      </c>
      <c r="E29" s="35">
        <f>F29+G29+H29</f>
        <v>0</v>
      </c>
      <c r="F29" s="36"/>
      <c r="G29" s="37"/>
      <c r="H29" s="37"/>
      <c r="I29" s="37">
        <f>J29+K29+L29</f>
        <v>0</v>
      </c>
      <c r="J29" s="25"/>
      <c r="K29" s="25"/>
      <c r="L29" s="25"/>
    </row>
    <row r="30" spans="1:12" ht="15" customHeight="1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/>
      <c r="E31" s="11"/>
      <c r="F31" s="11"/>
      <c r="G31" s="11">
        <f>G33+G38+G39+G40</f>
        <v>0</v>
      </c>
      <c r="H31" s="11"/>
      <c r="I31" s="11"/>
      <c r="J31" s="25"/>
      <c r="K31" s="11"/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/>
      <c r="E33" s="16"/>
      <c r="F33" s="16"/>
      <c r="G33" s="16"/>
      <c r="H33" s="16"/>
      <c r="I33" s="16"/>
      <c r="J33" s="29"/>
      <c r="K33" s="16"/>
      <c r="L33" s="16">
        <f>L34+L35+L36</f>
        <v>0</v>
      </c>
    </row>
    <row r="34" spans="1:12" ht="15" customHeight="1" x14ac:dyDescent="0.2">
      <c r="A34" t="s">
        <v>53</v>
      </c>
      <c r="B34" s="14"/>
      <c r="C34" s="24">
        <v>25</v>
      </c>
      <c r="D34" s="16"/>
      <c r="E34" s="16"/>
      <c r="F34" s="17"/>
      <c r="G34" s="17"/>
      <c r="H34" s="17"/>
      <c r="I34" s="17"/>
      <c r="J34" s="17"/>
      <c r="K34" s="17"/>
      <c r="L34" s="17"/>
    </row>
    <row r="35" spans="1:12" ht="25.5" x14ac:dyDescent="0.2">
      <c r="A35" s="30" t="s">
        <v>54</v>
      </c>
      <c r="B35" s="14"/>
      <c r="C35" s="24">
        <v>26</v>
      </c>
      <c r="D35" s="16"/>
      <c r="E35" s="16"/>
      <c r="F35" s="17"/>
      <c r="G35" s="17"/>
      <c r="H35" s="17"/>
      <c r="I35" s="17"/>
      <c r="J35" s="17"/>
      <c r="K35" s="17"/>
      <c r="L35" s="17"/>
    </row>
    <row r="36" spans="1:12" ht="27" customHeight="1" x14ac:dyDescent="0.2">
      <c r="A36" s="30" t="s">
        <v>55</v>
      </c>
      <c r="B36" s="14"/>
      <c r="C36" s="24">
        <v>27</v>
      </c>
      <c r="D36" s="16"/>
      <c r="E36" s="16"/>
      <c r="F36" s="17"/>
      <c r="G36" s="17"/>
      <c r="H36" s="17"/>
      <c r="I36" s="17"/>
      <c r="J36" s="17"/>
      <c r="K36" s="17"/>
      <c r="L36" s="17"/>
    </row>
    <row r="37" spans="1:12" ht="27" customHeight="1" x14ac:dyDescent="0.2">
      <c r="A37" s="30" t="s">
        <v>56</v>
      </c>
      <c r="B37" s="14"/>
      <c r="C37" s="24">
        <v>28</v>
      </c>
      <c r="D37" s="16"/>
      <c r="E37" s="16"/>
      <c r="F37" s="17"/>
      <c r="G37" s="17"/>
      <c r="H37" s="17"/>
      <c r="I37" s="17"/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>E38+I38</f>
        <v>0</v>
      </c>
      <c r="E38" s="16">
        <f>F38+G38+H38</f>
        <v>0</v>
      </c>
      <c r="F38" s="19"/>
      <c r="G38" s="17"/>
      <c r="H38" s="17"/>
      <c r="I38" s="17">
        <f>J38+K38+L38</f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/>
      <c r="E39" s="16"/>
      <c r="F39" s="17"/>
      <c r="G39" s="17"/>
      <c r="H39" s="17"/>
      <c r="I39" s="17"/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/>
      <c r="E40" s="16"/>
      <c r="F40" s="17">
        <f>SUM(F41:F45)</f>
        <v>0</v>
      </c>
      <c r="G40" s="17"/>
      <c r="H40" s="17"/>
      <c r="I40" s="17"/>
      <c r="J40" s="17"/>
      <c r="K40" s="17"/>
      <c r="L40" s="17"/>
    </row>
    <row r="41" spans="1:12" x14ac:dyDescent="0.2">
      <c r="A41" s="14" t="s">
        <v>60</v>
      </c>
      <c r="B41" s="19"/>
      <c r="C41" s="28">
        <v>32</v>
      </c>
      <c r="D41" s="16"/>
      <c r="E41" s="16"/>
      <c r="F41" s="17"/>
      <c r="G41" s="17"/>
      <c r="H41" s="17"/>
      <c r="I41" s="17"/>
      <c r="J41" s="17"/>
      <c r="K41" s="17"/>
      <c r="L41" s="17"/>
    </row>
    <row r="42" spans="1:12" x14ac:dyDescent="0.2">
      <c r="A42" s="21" t="s">
        <v>61</v>
      </c>
      <c r="B42" s="19"/>
      <c r="C42" s="28">
        <v>33</v>
      </c>
      <c r="D42" s="16"/>
      <c r="E42" s="16"/>
      <c r="F42" s="17"/>
      <c r="G42" s="17"/>
      <c r="H42" s="17"/>
      <c r="I42" s="17"/>
      <c r="J42" s="17"/>
      <c r="K42" s="17"/>
      <c r="L42" s="17"/>
    </row>
    <row r="43" spans="1:12" x14ac:dyDescent="0.2">
      <c r="A43" s="14" t="s">
        <v>62</v>
      </c>
      <c r="B43" s="19"/>
      <c r="C43" s="28">
        <v>34</v>
      </c>
      <c r="D43" s="16"/>
      <c r="E43" s="16"/>
      <c r="F43" s="17"/>
      <c r="G43" s="17"/>
      <c r="H43" s="17"/>
      <c r="I43" s="17"/>
      <c r="J43" s="17"/>
      <c r="K43" s="17"/>
      <c r="L43" s="17"/>
    </row>
    <row r="44" spans="1:12" x14ac:dyDescent="0.2">
      <c r="A44" s="14" t="s">
        <v>63</v>
      </c>
      <c r="B44" s="19"/>
      <c r="C44" s="28">
        <v>35</v>
      </c>
      <c r="D44" s="16"/>
      <c r="E44" s="16"/>
      <c r="F44" s="17"/>
      <c r="G44" s="17"/>
      <c r="H44" s="17"/>
      <c r="I44" s="17"/>
      <c r="J44" s="17"/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/>
      <c r="E45" s="16"/>
      <c r="F45" s="17"/>
      <c r="G45" s="17"/>
      <c r="H45" s="17"/>
      <c r="I45" s="17"/>
      <c r="J45" s="17"/>
      <c r="K45" s="17"/>
      <c r="L45" s="17"/>
    </row>
    <row r="46" spans="1:12" ht="25.5" x14ac:dyDescent="0.2">
      <c r="A46" s="25" t="s">
        <v>65</v>
      </c>
      <c r="B46" s="23" t="s">
        <v>66</v>
      </c>
      <c r="C46" s="23">
        <v>37</v>
      </c>
      <c r="D46" s="11"/>
      <c r="E46" s="11"/>
      <c r="F46" s="25"/>
      <c r="G46" s="25"/>
      <c r="H46" s="25"/>
      <c r="I46" s="25"/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</sheetData>
  <mergeCells count="6">
    <mergeCell ref="E3:H3"/>
    <mergeCell ref="I3:L3"/>
    <mergeCell ref="A3:A4"/>
    <mergeCell ref="B3:B4"/>
    <mergeCell ref="C3:C4"/>
    <mergeCell ref="D3:D4"/>
  </mergeCells>
  <phoneticPr fontId="0" type="noConversion"/>
  <pageMargins left="0.75" right="0.75" top="1" bottom="1" header="0.5" footer="0.5"/>
  <pageSetup paperSize="9" scale="53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2"/>
  <sheetViews>
    <sheetView workbookViewId="0">
      <pane xSplit="3" ySplit="5" topLeftCell="E45" activePane="bottomRight" state="frozen"/>
      <selection activeCell="G46" sqref="G46"/>
      <selection pane="topRight" activeCell="G46" sqref="G46"/>
      <selection pane="bottomLeft" activeCell="G46" sqref="G46"/>
      <selection pane="bottomRight" activeCell="J20" sqref="J20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91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62099.7</v>
      </c>
      <c r="E6" s="11">
        <f>F6+G6+H6</f>
        <v>61888.1</v>
      </c>
      <c r="F6" s="12">
        <f>F8+F14+F28+F29+F31+F46</f>
        <v>101.69999999999999</v>
      </c>
      <c r="G6" s="12">
        <f>G8+G14+G28+G29+G31</f>
        <v>55796.3</v>
      </c>
      <c r="H6" s="12">
        <f>H8+H14+H28+H29+H31</f>
        <v>5990.1</v>
      </c>
      <c r="I6" s="12">
        <f>J6+K6+L6</f>
        <v>211.60000000000002</v>
      </c>
      <c r="J6" s="12">
        <f>SUM(J8+J14+J28+J29+J31)</f>
        <v>211.60000000000002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52533</v>
      </c>
      <c r="E8" s="11">
        <f>F8+G8+H8</f>
        <v>52441.9</v>
      </c>
      <c r="F8" s="11">
        <f>F10+F11+F13</f>
        <v>101.69999999999999</v>
      </c>
      <c r="G8" s="11">
        <f>G10+G11+G13</f>
        <v>52030.9</v>
      </c>
      <c r="H8" s="11">
        <f>H10+H11+H13</f>
        <v>309.3</v>
      </c>
      <c r="I8" s="11">
        <f>J8+K8+L8</f>
        <v>91.100000000000009</v>
      </c>
      <c r="J8" s="11">
        <f t="shared" ref="J8:L8" si="0">J10+J11+J13</f>
        <v>91.100000000000009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40825</v>
      </c>
      <c r="E10" s="11">
        <f>F10+G10+H10</f>
        <v>40748.1</v>
      </c>
      <c r="F10" s="19">
        <f>78.1</f>
        <v>78.099999999999994</v>
      </c>
      <c r="G10" s="17">
        <f>40120.3+312.1</f>
        <v>40432.400000000001</v>
      </c>
      <c r="H10" s="17">
        <f>237.6</f>
        <v>237.6</v>
      </c>
      <c r="I10" s="11">
        <f t="shared" ref="I10:I13" si="1">J10+K10+L10</f>
        <v>76.900000000000006</v>
      </c>
      <c r="J10" s="17">
        <v>76.900000000000006</v>
      </c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23.6</v>
      </c>
      <c r="E11" s="11">
        <f>F11+G11+H11</f>
        <v>23.6</v>
      </c>
      <c r="F11" s="19">
        <f>23.6</f>
        <v>23.6</v>
      </c>
      <c r="G11" s="17"/>
      <c r="H11" s="17"/>
      <c r="I11" s="11">
        <f t="shared" si="1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11684.400000000001</v>
      </c>
      <c r="E13" s="11">
        <f>F13+G13+H13</f>
        <v>11670.2</v>
      </c>
      <c r="F13" s="19"/>
      <c r="G13" s="17">
        <f>11507.9+90.6</f>
        <v>11598.5</v>
      </c>
      <c r="H13" s="17">
        <v>71.7</v>
      </c>
      <c r="I13" s="11">
        <f t="shared" si="1"/>
        <v>14.2</v>
      </c>
      <c r="J13" s="17">
        <v>14.2</v>
      </c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5996.8</v>
      </c>
      <c r="E14" s="11">
        <f>F14+G14+H14</f>
        <v>5945.6</v>
      </c>
      <c r="F14" s="23">
        <f>F16+F18+F19+F20+F21+F25</f>
        <v>0</v>
      </c>
      <c r="G14" s="23">
        <f t="shared" ref="G14:L14" si="4">G16+G18+G19+G20+G21+G25</f>
        <v>2041.3</v>
      </c>
      <c r="H14" s="23">
        <f t="shared" si="4"/>
        <v>3904.3</v>
      </c>
      <c r="I14" s="11">
        <f>J14+K14+L14</f>
        <v>51.199999999999996</v>
      </c>
      <c r="J14" s="23">
        <f t="shared" si="4"/>
        <v>51.199999999999996</v>
      </c>
      <c r="K14" s="23">
        <f t="shared" si="4"/>
        <v>0</v>
      </c>
      <c r="L14" s="23">
        <f t="shared" si="4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42.3</v>
      </c>
      <c r="E16" s="11">
        <f>F16+G16+H16</f>
        <v>42.3</v>
      </c>
      <c r="F16" s="19"/>
      <c r="G16" s="17">
        <v>10.8</v>
      </c>
      <c r="H16" s="17">
        <f>19+12.5</f>
        <v>31.5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32.4</v>
      </c>
      <c r="E18" s="11">
        <f t="shared" ref="E18:E27" si="7">F18+G18+H18</f>
        <v>32.4</v>
      </c>
      <c r="F18" s="19"/>
      <c r="G18" s="17"/>
      <c r="H18" s="17">
        <v>32.4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2830.3</v>
      </c>
      <c r="E19" s="11">
        <f t="shared" si="7"/>
        <v>2779.1000000000004</v>
      </c>
      <c r="F19" s="19"/>
      <c r="G19" s="17"/>
      <c r="H19" s="17">
        <f>67+479.8+2232.3</f>
        <v>2779.1000000000004</v>
      </c>
      <c r="I19" s="11">
        <f t="shared" si="6"/>
        <v>51.199999999999996</v>
      </c>
      <c r="J19" s="17">
        <f>14.4+36.8</f>
        <v>51.199999999999996</v>
      </c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745</v>
      </c>
      <c r="E21" s="11">
        <f t="shared" si="7"/>
        <v>745</v>
      </c>
      <c r="F21" s="21">
        <f>F22+F23+F24</f>
        <v>0</v>
      </c>
      <c r="G21" s="21">
        <f t="shared" ref="G21:L21" si="8">G22+G23+G24</f>
        <v>300</v>
      </c>
      <c r="H21" s="21">
        <f t="shared" si="8"/>
        <v>445.00000000000006</v>
      </c>
      <c r="I21" s="11">
        <f t="shared" si="6"/>
        <v>0</v>
      </c>
      <c r="J21" s="21">
        <f t="shared" si="8"/>
        <v>0</v>
      </c>
      <c r="K21" s="21">
        <f t="shared" si="8"/>
        <v>0</v>
      </c>
      <c r="L21" s="21">
        <f t="shared" si="8"/>
        <v>0</v>
      </c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136.30000000000001</v>
      </c>
      <c r="E22" s="11">
        <f t="shared" si="7"/>
        <v>136.30000000000001</v>
      </c>
      <c r="F22" s="19"/>
      <c r="G22" s="17"/>
      <c r="H22" s="17">
        <v>136.30000000000001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608.70000000000005</v>
      </c>
      <c r="E23" s="11">
        <f t="shared" si="7"/>
        <v>608.70000000000005</v>
      </c>
      <c r="F23" s="19"/>
      <c r="G23" s="17">
        <v>300</v>
      </c>
      <c r="H23" s="17">
        <f>9.1+299.6</f>
        <v>308.70000000000005</v>
      </c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2346.8000000000002</v>
      </c>
      <c r="E25" s="11">
        <f t="shared" si="7"/>
        <v>2346.8000000000002</v>
      </c>
      <c r="F25" s="19"/>
      <c r="G25" s="17">
        <f>1551.1+54.9+94.5+30</f>
        <v>1730.5</v>
      </c>
      <c r="H25" s="17">
        <f>616.3</f>
        <v>616.29999999999995</v>
      </c>
      <c r="I25" s="11">
        <f t="shared" si="6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92.9</v>
      </c>
      <c r="E26" s="11">
        <f t="shared" si="7"/>
        <v>92.9</v>
      </c>
      <c r="F26" s="19"/>
      <c r="G26" s="17"/>
      <c r="H26" s="17">
        <v>92.9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99</v>
      </c>
      <c r="E28" s="35">
        <f>F28+G28+H28</f>
        <v>99</v>
      </c>
      <c r="F28" s="36"/>
      <c r="G28" s="37">
        <f>63.9+35.1</f>
        <v>99</v>
      </c>
      <c r="H28" s="37"/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888.5</v>
      </c>
      <c r="E29" s="35">
        <f>F29+G29+H29</f>
        <v>886.7</v>
      </c>
      <c r="F29" s="36"/>
      <c r="G29" s="37"/>
      <c r="H29" s="37">
        <v>886.7</v>
      </c>
      <c r="I29" s="11">
        <f>J29+K29+L29</f>
        <v>1.8</v>
      </c>
      <c r="J29" s="25">
        <v>1.8</v>
      </c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2582.3999999999996</v>
      </c>
      <c r="E31" s="35">
        <f>F31+G31+H31</f>
        <v>2514.8999999999996</v>
      </c>
      <c r="F31" s="11">
        <f>SUM(F33+F38+F39+F40)</f>
        <v>0</v>
      </c>
      <c r="G31" s="11">
        <f>G33+G38+G39+G40</f>
        <v>1625.1</v>
      </c>
      <c r="H31" s="11">
        <f>SUM(H33+H38+H39+H40)</f>
        <v>889.8</v>
      </c>
      <c r="I31" s="11">
        <f>J31+K31+L31</f>
        <v>67.5</v>
      </c>
      <c r="J31" s="11">
        <f>J33+J38+J40</f>
        <v>67.5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1839.8999999999999</v>
      </c>
      <c r="E33" s="11">
        <f>F33+G33+H33</f>
        <v>1778.8</v>
      </c>
      <c r="F33" s="16">
        <f>SUM(F34:F37)</f>
        <v>0</v>
      </c>
      <c r="G33" s="16">
        <f>SUM(G34:G37)</f>
        <v>1505.6</v>
      </c>
      <c r="H33" s="16">
        <f>SUM(H34:H37)</f>
        <v>273.2</v>
      </c>
      <c r="I33" s="11">
        <f>J33+K33+L33</f>
        <v>61.1</v>
      </c>
      <c r="J33" s="16">
        <f>J34+J35+J36</f>
        <v>61.1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532.9</v>
      </c>
      <c r="E35" s="11">
        <f t="shared" si="10"/>
        <v>471.79999999999995</v>
      </c>
      <c r="F35" s="17"/>
      <c r="G35" s="17">
        <v>198.6</v>
      </c>
      <c r="H35" s="17">
        <f>115.8+157.4</f>
        <v>273.2</v>
      </c>
      <c r="I35" s="11">
        <f t="shared" si="11"/>
        <v>61.1</v>
      </c>
      <c r="J35" s="17">
        <v>61.1</v>
      </c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1307</v>
      </c>
      <c r="E37" s="11">
        <f t="shared" si="10"/>
        <v>1307</v>
      </c>
      <c r="F37" s="17"/>
      <c r="G37" s="17">
        <v>1307</v>
      </c>
      <c r="H37" s="17"/>
      <c r="I37" s="11">
        <f t="shared" si="11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7"/>
      <c r="I38" s="11">
        <f t="shared" si="11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742.5</v>
      </c>
      <c r="E40" s="11">
        <f>F40+G40+H40</f>
        <v>736.1</v>
      </c>
      <c r="F40" s="17">
        <f>SUM(F41:F45)</f>
        <v>0</v>
      </c>
      <c r="G40" s="17">
        <f>SUM(G41:G46)</f>
        <v>119.5</v>
      </c>
      <c r="H40" s="17">
        <f>SUM(H41:H45)</f>
        <v>616.6</v>
      </c>
      <c r="I40" s="11">
        <f t="shared" si="11"/>
        <v>6.4</v>
      </c>
      <c r="J40" s="17">
        <f>SUM(J41:J46)</f>
        <v>6.4</v>
      </c>
      <c r="K40" s="17">
        <f>SUM(K41:K46)</f>
        <v>0</v>
      </c>
      <c r="L40" s="17">
        <f>SUM(L41:L46)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20</v>
      </c>
      <c r="E41" s="11">
        <f t="shared" si="10"/>
        <v>20</v>
      </c>
      <c r="F41" s="17"/>
      <c r="G41" s="17"/>
      <c r="H41" s="17">
        <v>20</v>
      </c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119.5</v>
      </c>
      <c r="E43" s="11">
        <f t="shared" si="10"/>
        <v>119.5</v>
      </c>
      <c r="F43" s="17"/>
      <c r="G43" s="17">
        <v>119.5</v>
      </c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603</v>
      </c>
      <c r="E44" s="11">
        <f t="shared" si="10"/>
        <v>596.6</v>
      </c>
      <c r="F44" s="17"/>
      <c r="G44" s="17"/>
      <c r="H44" s="17">
        <v>596.6</v>
      </c>
      <c r="I44" s="11">
        <f t="shared" si="11"/>
        <v>6.4</v>
      </c>
      <c r="J44" s="17">
        <v>6.4</v>
      </c>
      <c r="K44" s="17"/>
      <c r="L44" s="17"/>
    </row>
    <row r="45" spans="1:12" x14ac:dyDescent="0.2">
      <c r="A45" s="14" t="s">
        <v>86</v>
      </c>
      <c r="B45" s="19"/>
      <c r="C45" s="28"/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9"/>
        <v>0</v>
      </c>
      <c r="E46" s="11">
        <f t="shared" si="10"/>
        <v>0</v>
      </c>
      <c r="F46" s="17"/>
      <c r="G46" s="17"/>
      <c r="H46" s="17"/>
      <c r="I46" s="11">
        <f t="shared" si="11"/>
        <v>0</v>
      </c>
      <c r="J46" s="17"/>
      <c r="K46" s="17"/>
      <c r="L46" s="17"/>
    </row>
    <row r="47" spans="1:12" ht="25.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3"/>
      <c r="C55" s="33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2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2"/>
  <sheetViews>
    <sheetView workbookViewId="0">
      <pane xSplit="3" ySplit="5" topLeftCell="D6" activePane="bottomRight" state="frozen"/>
      <selection activeCell="G46" sqref="G46"/>
      <selection pane="topRight" activeCell="G46" sqref="G46"/>
      <selection pane="bottomLeft" activeCell="G46" sqref="G46"/>
      <selection pane="bottomRight" activeCell="I27" sqref="I27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92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44190.6</v>
      </c>
      <c r="E6" s="11">
        <f>F6+G6+H6</f>
        <v>44190.6</v>
      </c>
      <c r="F6" s="12">
        <f>F8+F14+F28+F29+F31+F46</f>
        <v>0</v>
      </c>
      <c r="G6" s="12">
        <f>G8+G14+G28+G29+G31</f>
        <v>38596.5</v>
      </c>
      <c r="H6" s="12">
        <f>H8+H14+H28+H29+H31</f>
        <v>5594.1</v>
      </c>
      <c r="I6" s="12">
        <f>J6+K6+L6</f>
        <v>0</v>
      </c>
      <c r="J6" s="12">
        <f>SUM(J8+J14+J28+J29+J31)</f>
        <v>0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35353.5</v>
      </c>
      <c r="E8" s="11">
        <f>F8+G8+H8</f>
        <v>35353.5</v>
      </c>
      <c r="F8" s="11">
        <f>F10+F11+F13</f>
        <v>0</v>
      </c>
      <c r="G8" s="11">
        <f>G10+G11+G13</f>
        <v>35028.5</v>
      </c>
      <c r="H8" s="11">
        <f>H10+H11+H13</f>
        <v>325</v>
      </c>
      <c r="I8" s="11">
        <f>J8+K8+L8</f>
        <v>0</v>
      </c>
      <c r="J8" s="11">
        <f t="shared" ref="J8:L8" si="0">J10+J11+J13</f>
        <v>0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27414.599999999995</v>
      </c>
      <c r="E10" s="11">
        <f>F10+G10+H10</f>
        <v>27414.599999999995</v>
      </c>
      <c r="F10" s="19"/>
      <c r="G10" s="17">
        <f>75.1+26847.1+242.8</f>
        <v>27164.999999999996</v>
      </c>
      <c r="H10" s="17">
        <f>249.6</f>
        <v>249.6</v>
      </c>
      <c r="I10" s="11">
        <f t="shared" ref="I10:I13" si="1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1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7938.9</v>
      </c>
      <c r="E13" s="11">
        <f>F13+G13+H13</f>
        <v>7938.9</v>
      </c>
      <c r="F13" s="19"/>
      <c r="G13" s="17">
        <f>22.7+7769.1+71.7</f>
        <v>7863.5</v>
      </c>
      <c r="H13" s="17">
        <v>75.400000000000006</v>
      </c>
      <c r="I13" s="11">
        <f t="shared" si="1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6109.2</v>
      </c>
      <c r="E14" s="11">
        <f>F14+G14+H14</f>
        <v>6109.2</v>
      </c>
      <c r="F14" s="23">
        <f>F16+F18+F19+F20+F21+F25</f>
        <v>0</v>
      </c>
      <c r="G14" s="23">
        <f t="shared" ref="G14:L14" si="4">G16+G18+G19+G20+G21+G25</f>
        <v>2479</v>
      </c>
      <c r="H14" s="23">
        <f t="shared" si="4"/>
        <v>3630.2</v>
      </c>
      <c r="I14" s="23">
        <f t="shared" si="4"/>
        <v>0</v>
      </c>
      <c r="J14" s="23">
        <f t="shared" si="4"/>
        <v>0</v>
      </c>
      <c r="K14" s="23">
        <f t="shared" si="4"/>
        <v>0</v>
      </c>
      <c r="L14" s="23">
        <f t="shared" si="4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59.1</v>
      </c>
      <c r="E16" s="11">
        <f>F16+G16+H16</f>
        <v>59.1</v>
      </c>
      <c r="F16" s="19"/>
      <c r="G16" s="17">
        <v>17.5</v>
      </c>
      <c r="H16" s="17">
        <f>41.6</f>
        <v>41.6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73.7</v>
      </c>
      <c r="E18" s="11">
        <f t="shared" ref="E18:E27" si="7">F18+G18+H18</f>
        <v>73.7</v>
      </c>
      <c r="F18" s="19"/>
      <c r="G18" s="17"/>
      <c r="H18" s="17">
        <f>25.3+48.4</f>
        <v>73.7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2907.7999999999997</v>
      </c>
      <c r="E19" s="11">
        <f t="shared" si="7"/>
        <v>2907.7999999999997</v>
      </c>
      <c r="F19" s="19"/>
      <c r="G19" s="17"/>
      <c r="H19" s="17">
        <f>188.3+341.8+2377.7</f>
        <v>2907.7999999999997</v>
      </c>
      <c r="I19" s="11">
        <f t="shared" si="6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1102.5999999999999</v>
      </c>
      <c r="E21" s="11">
        <f t="shared" si="7"/>
        <v>1102.5999999999999</v>
      </c>
      <c r="F21" s="21">
        <f>F22+F23+F24</f>
        <v>0</v>
      </c>
      <c r="G21" s="21">
        <f t="shared" ref="G21:H21" si="8">G22+G23+G24</f>
        <v>1000</v>
      </c>
      <c r="H21" s="21">
        <f t="shared" si="8"/>
        <v>102.6</v>
      </c>
      <c r="I21" s="11">
        <f t="shared" si="6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102.6</v>
      </c>
      <c r="E22" s="11">
        <f t="shared" si="7"/>
        <v>102.6</v>
      </c>
      <c r="F22" s="19"/>
      <c r="G22" s="17"/>
      <c r="H22" s="17">
        <v>102.6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1000</v>
      </c>
      <c r="E23" s="11">
        <f t="shared" si="7"/>
        <v>1000</v>
      </c>
      <c r="F23" s="19"/>
      <c r="G23" s="17">
        <v>1000</v>
      </c>
      <c r="H23" s="17"/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1966</v>
      </c>
      <c r="E25" s="11">
        <f t="shared" si="7"/>
        <v>1966</v>
      </c>
      <c r="F25" s="19"/>
      <c r="G25" s="17">
        <f>1272.5+189</f>
        <v>1461.5</v>
      </c>
      <c r="H25" s="17">
        <f>379.5+103+22</f>
        <v>504.5</v>
      </c>
      <c r="I25" s="11">
        <f t="shared" si="6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62.2</v>
      </c>
      <c r="E26" s="11">
        <f t="shared" si="7"/>
        <v>62.2</v>
      </c>
      <c r="F26" s="19"/>
      <c r="G26" s="17"/>
      <c r="H26" s="17">
        <v>62.2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84.6</v>
      </c>
      <c r="E28" s="35">
        <f>F28+G28+H28</f>
        <v>84.6</v>
      </c>
      <c r="F28" s="36"/>
      <c r="G28" s="37">
        <v>28.7</v>
      </c>
      <c r="H28" s="37">
        <v>55.9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1411.9</v>
      </c>
      <c r="E29" s="35">
        <f>F29+G29+H29</f>
        <v>1411.9</v>
      </c>
      <c r="F29" s="36"/>
      <c r="G29" s="37"/>
      <c r="H29" s="37">
        <f>1401.9+10</f>
        <v>1411.9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1231.3999999999999</v>
      </c>
      <c r="E31" s="35">
        <f>F31+G31+H31</f>
        <v>1231.3999999999999</v>
      </c>
      <c r="F31" s="11">
        <f>SUM(F33+F38+F39+F40)</f>
        <v>0</v>
      </c>
      <c r="G31" s="11">
        <f>G33+G38+G39+G40</f>
        <v>1060.3</v>
      </c>
      <c r="H31" s="11">
        <f>SUM(H33+H38+H39+H40)</f>
        <v>171.1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1217.7</v>
      </c>
      <c r="E33" s="11">
        <f>F33+G33+H33</f>
        <v>1217.7</v>
      </c>
      <c r="F33" s="16">
        <f>SUM(F34:F37)</f>
        <v>0</v>
      </c>
      <c r="G33" s="16">
        <f>SUM(G34:G37)</f>
        <v>1060.3</v>
      </c>
      <c r="H33" s="16">
        <f>SUM(H34:H37)</f>
        <v>157.4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356</v>
      </c>
      <c r="E35" s="11">
        <f t="shared" si="10"/>
        <v>356</v>
      </c>
      <c r="F35" s="17"/>
      <c r="G35" s="17">
        <v>198.6</v>
      </c>
      <c r="H35" s="17">
        <v>157.4</v>
      </c>
      <c r="I35" s="11">
        <f t="shared" si="11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861.7</v>
      </c>
      <c r="E37" s="11">
        <f t="shared" si="10"/>
        <v>861.7</v>
      </c>
      <c r="F37" s="17"/>
      <c r="G37" s="17">
        <v>861.7</v>
      </c>
      <c r="H37" s="17"/>
      <c r="I37" s="11">
        <f t="shared" si="11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7"/>
      <c r="I38" s="11">
        <f t="shared" si="11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13.7</v>
      </c>
      <c r="E40" s="11">
        <f>F40+G40+H40</f>
        <v>13.7</v>
      </c>
      <c r="F40" s="17">
        <f>SUM(F41:F45)</f>
        <v>0</v>
      </c>
      <c r="G40" s="17">
        <f>SUM(G41:G46)</f>
        <v>0</v>
      </c>
      <c r="H40" s="17">
        <f>SUM(H41:H45)</f>
        <v>13.7</v>
      </c>
      <c r="I40" s="11">
        <f t="shared" si="11"/>
        <v>0</v>
      </c>
      <c r="J40" s="17">
        <f>SUM(J41:J46)</f>
        <v>0</v>
      </c>
      <c r="K40" s="17">
        <f>SUM(K41:K46)</f>
        <v>0</v>
      </c>
      <c r="L40" s="17">
        <f>SUM(L41:L46)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0</v>
      </c>
      <c r="E41" s="11">
        <f t="shared" si="10"/>
        <v>0</v>
      </c>
      <c r="F41" s="17"/>
      <c r="G41" s="17"/>
      <c r="H41" s="17"/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0</v>
      </c>
      <c r="E43" s="11">
        <f t="shared" si="10"/>
        <v>0</v>
      </c>
      <c r="F43" s="17"/>
      <c r="G43" s="17"/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13.7</v>
      </c>
      <c r="E44" s="11">
        <f t="shared" si="10"/>
        <v>13.7</v>
      </c>
      <c r="F44" s="17"/>
      <c r="G44" s="17"/>
      <c r="H44" s="17">
        <v>13.7</v>
      </c>
      <c r="I44" s="11">
        <f t="shared" si="11"/>
        <v>0</v>
      </c>
      <c r="J44" s="17"/>
      <c r="K44" s="17"/>
      <c r="L44" s="17"/>
    </row>
    <row r="45" spans="1:12" x14ac:dyDescent="0.2">
      <c r="A45" s="14" t="s">
        <v>86</v>
      </c>
      <c r="B45" s="19"/>
      <c r="C45" s="28"/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9"/>
        <v>0</v>
      </c>
      <c r="E46" s="11">
        <f t="shared" si="10"/>
        <v>0</v>
      </c>
      <c r="F46" s="17"/>
      <c r="G46" s="17"/>
      <c r="H46" s="17"/>
      <c r="I46" s="11">
        <f t="shared" si="11"/>
        <v>0</v>
      </c>
      <c r="J46" s="17"/>
      <c r="K46" s="17"/>
      <c r="L46" s="17"/>
    </row>
    <row r="47" spans="1:12" ht="25.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3"/>
      <c r="C55" s="33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2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2"/>
  <sheetViews>
    <sheetView workbookViewId="0">
      <pane xSplit="3" ySplit="5" topLeftCell="F6" activePane="bottomRight" state="frozen"/>
      <selection activeCell="G46" sqref="G46"/>
      <selection pane="topRight" activeCell="G46" sqref="G46"/>
      <selection pane="bottomLeft" activeCell="G46" sqref="G46"/>
      <selection pane="bottomRight" activeCell="F9" sqref="F9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93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48475.999999999993</v>
      </c>
      <c r="E6" s="11">
        <f>F6+G6+H6</f>
        <v>48305.299999999996</v>
      </c>
      <c r="F6" s="12">
        <f>F8+F14+F28+F29+F31+F46</f>
        <v>1388.7</v>
      </c>
      <c r="G6" s="12">
        <f>G8+G14+G28+G29+G31</f>
        <v>42063</v>
      </c>
      <c r="H6" s="12">
        <f>H8+H14+H28+H29+H31</f>
        <v>4853.5999999999995</v>
      </c>
      <c r="I6" s="12">
        <f>J6+K6+L6</f>
        <v>170.70000000000002</v>
      </c>
      <c r="J6" s="12">
        <f>J8+J14+J28+J29+J31</f>
        <v>170.70000000000002</v>
      </c>
      <c r="K6" s="12">
        <f t="shared" ref="K6:L6" si="0">K8+K14+K28+K29+K31</f>
        <v>0</v>
      </c>
      <c r="L6" s="12">
        <f t="shared" si="0"/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39219.799999999996</v>
      </c>
      <c r="E8" s="11">
        <f>F8+G8+H8</f>
        <v>39139.599999999999</v>
      </c>
      <c r="F8" s="11">
        <f>F10+F11+F13</f>
        <v>93.7</v>
      </c>
      <c r="G8" s="11">
        <f>G10+G11+G13</f>
        <v>38702</v>
      </c>
      <c r="H8" s="11">
        <f>H10+H11+H13</f>
        <v>343.9</v>
      </c>
      <c r="I8" s="11">
        <f>J8+K8+L8</f>
        <v>80.2</v>
      </c>
      <c r="J8" s="11">
        <f t="shared" ref="J8:L8" si="1">J10+J11+J13</f>
        <v>80.2</v>
      </c>
      <c r="K8" s="11">
        <f t="shared" si="1"/>
        <v>0</v>
      </c>
      <c r="L8" s="11">
        <f t="shared" si="1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30519.500000000004</v>
      </c>
      <c r="E10" s="11">
        <f>F10+G10+H10</f>
        <v>30457.600000000002</v>
      </c>
      <c r="F10" s="19">
        <v>72</v>
      </c>
      <c r="G10" s="17">
        <f>29838+287.2</f>
        <v>30125.200000000001</v>
      </c>
      <c r="H10" s="17">
        <f>260.4</f>
        <v>260.39999999999998</v>
      </c>
      <c r="I10" s="11">
        <f t="shared" ref="I10:I13" si="2">J10+K10+L10</f>
        <v>61.9</v>
      </c>
      <c r="J10" s="17">
        <v>61.9</v>
      </c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34.299999999999997</v>
      </c>
      <c r="E11" s="11">
        <f>F11+G11+H11</f>
        <v>34.299999999999997</v>
      </c>
      <c r="F11" s="19">
        <v>21.7</v>
      </c>
      <c r="G11" s="17"/>
      <c r="H11" s="17">
        <v>12.6</v>
      </c>
      <c r="I11" s="11">
        <f t="shared" si="2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3">E12+I12</f>
        <v>0</v>
      </c>
      <c r="E12" s="11">
        <f t="shared" ref="E12" si="4">F12+G12+H12</f>
        <v>0</v>
      </c>
      <c r="F12" s="19"/>
      <c r="G12" s="17"/>
      <c r="H12" s="17"/>
      <c r="I12" s="11">
        <f t="shared" si="2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3"/>
        <v>8666</v>
      </c>
      <c r="E13" s="11">
        <f>F13+G13+H13</f>
        <v>8647.7000000000007</v>
      </c>
      <c r="F13" s="19"/>
      <c r="G13" s="17">
        <f>8492.2+84.6</f>
        <v>8576.8000000000011</v>
      </c>
      <c r="H13" s="17">
        <f>70.9</f>
        <v>70.900000000000006</v>
      </c>
      <c r="I13" s="11">
        <f t="shared" si="2"/>
        <v>18.3</v>
      </c>
      <c r="J13" s="17">
        <v>18.3</v>
      </c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5815.2999999999993</v>
      </c>
      <c r="E14" s="11">
        <f>F14+G14+H14</f>
        <v>5737.4</v>
      </c>
      <c r="F14" s="23">
        <f>F16+F18+F19+F20+F21+F25</f>
        <v>0</v>
      </c>
      <c r="G14" s="23">
        <f t="shared" ref="G14:L14" si="5">G16+G18+G19+G20+G21+G25</f>
        <v>2034.8999999999999</v>
      </c>
      <c r="H14" s="23">
        <f t="shared" si="5"/>
        <v>3702.5</v>
      </c>
      <c r="I14" s="11">
        <f>J14+K14+L14</f>
        <v>77.900000000000006</v>
      </c>
      <c r="J14" s="23">
        <f>J16+J18+J19+J20+J21+J25</f>
        <v>77.900000000000006</v>
      </c>
      <c r="K14" s="23">
        <f t="shared" si="5"/>
        <v>0</v>
      </c>
      <c r="L14" s="23">
        <f t="shared" si="5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6">E16+I16</f>
        <v>147.9</v>
      </c>
      <c r="E16" s="11">
        <f>F16+G16+H16</f>
        <v>147.9</v>
      </c>
      <c r="F16" s="19"/>
      <c r="G16" s="17">
        <v>19</v>
      </c>
      <c r="H16" s="17">
        <f>91.7+37.2</f>
        <v>128.9</v>
      </c>
      <c r="I16" s="11">
        <f t="shared" ref="I16:I27" si="7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6"/>
        <v>0</v>
      </c>
      <c r="E17" s="11">
        <f>F17+G17+H17</f>
        <v>0</v>
      </c>
      <c r="F17" s="19"/>
      <c r="G17" s="17"/>
      <c r="H17" s="17"/>
      <c r="I17" s="11">
        <f t="shared" si="7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6"/>
        <v>0</v>
      </c>
      <c r="E18" s="11">
        <f t="shared" ref="E18:E27" si="8">F18+G18+H18</f>
        <v>0</v>
      </c>
      <c r="F18" s="19"/>
      <c r="G18" s="17"/>
      <c r="H18" s="17"/>
      <c r="I18" s="11">
        <f t="shared" si="7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6"/>
        <v>1738.2000000000003</v>
      </c>
      <c r="E19" s="11">
        <f t="shared" si="8"/>
        <v>1660.3000000000002</v>
      </c>
      <c r="F19" s="19"/>
      <c r="G19" s="17"/>
      <c r="H19" s="17">
        <f>326.4+1333.9</f>
        <v>1660.3000000000002</v>
      </c>
      <c r="I19" s="11">
        <f t="shared" si="7"/>
        <v>77.900000000000006</v>
      </c>
      <c r="J19" s="17">
        <f>21.2+56.7</f>
        <v>77.900000000000006</v>
      </c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6"/>
        <v>0</v>
      </c>
      <c r="E20" s="11">
        <f t="shared" si="8"/>
        <v>0</v>
      </c>
      <c r="F20" s="19"/>
      <c r="G20" s="17"/>
      <c r="H20" s="17"/>
      <c r="I20" s="11">
        <f t="shared" si="7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6"/>
        <v>2036.1</v>
      </c>
      <c r="E21" s="11">
        <f t="shared" si="8"/>
        <v>2036.1</v>
      </c>
      <c r="F21" s="21">
        <f>F22+F23+F24</f>
        <v>0</v>
      </c>
      <c r="G21" s="21">
        <f t="shared" ref="G21:J21" si="9">G22+G23+G24</f>
        <v>500</v>
      </c>
      <c r="H21" s="21">
        <f t="shared" si="9"/>
        <v>1536.1</v>
      </c>
      <c r="I21" s="11">
        <f t="shared" si="7"/>
        <v>0</v>
      </c>
      <c r="J21" s="21">
        <f t="shared" si="9"/>
        <v>0</v>
      </c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6"/>
        <v>165.5</v>
      </c>
      <c r="E22" s="11">
        <f t="shared" si="8"/>
        <v>165.5</v>
      </c>
      <c r="F22" s="19"/>
      <c r="G22" s="17"/>
      <c r="H22" s="17">
        <f>165.5</f>
        <v>165.5</v>
      </c>
      <c r="I22" s="11">
        <f t="shared" si="7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6"/>
        <v>1870.6</v>
      </c>
      <c r="E23" s="11">
        <f t="shared" si="8"/>
        <v>1870.6</v>
      </c>
      <c r="F23" s="19"/>
      <c r="G23" s="17">
        <v>500</v>
      </c>
      <c r="H23" s="17">
        <f>471.3+300+599.3</f>
        <v>1370.6</v>
      </c>
      <c r="I23" s="11">
        <f t="shared" si="7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6"/>
        <v>0</v>
      </c>
      <c r="E24" s="11">
        <f t="shared" si="8"/>
        <v>0</v>
      </c>
      <c r="F24" s="19"/>
      <c r="G24" s="17"/>
      <c r="H24" s="17"/>
      <c r="I24" s="11">
        <f t="shared" si="7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1893.1</v>
      </c>
      <c r="E25" s="11">
        <f t="shared" si="8"/>
        <v>1893.1</v>
      </c>
      <c r="F25" s="19"/>
      <c r="G25" s="17">
        <f>1367.1+54.3+94.5</f>
        <v>1515.8999999999999</v>
      </c>
      <c r="H25" s="17">
        <f>90.9+286.3</f>
        <v>377.20000000000005</v>
      </c>
      <c r="I25" s="11">
        <f t="shared" si="7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6"/>
        <v>117.5</v>
      </c>
      <c r="E26" s="11">
        <f t="shared" si="8"/>
        <v>117.5</v>
      </c>
      <c r="F26" s="19"/>
      <c r="G26" s="17"/>
      <c r="H26" s="17">
        <v>117.5</v>
      </c>
      <c r="I26" s="11">
        <f t="shared" si="7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6"/>
        <v>36</v>
      </c>
      <c r="E27" s="11">
        <f t="shared" si="8"/>
        <v>36</v>
      </c>
      <c r="F27" s="19"/>
      <c r="G27" s="17"/>
      <c r="H27" s="17">
        <v>36</v>
      </c>
      <c r="I27" s="11">
        <f t="shared" si="7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127.8</v>
      </c>
      <c r="E28" s="35">
        <f>F28+G28+H28</f>
        <v>127.8</v>
      </c>
      <c r="F28" s="36"/>
      <c r="G28" s="37">
        <f>41.6+55</f>
        <v>96.6</v>
      </c>
      <c r="H28" s="37">
        <v>31.2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624.6</v>
      </c>
      <c r="E29" s="35">
        <f>F29+G29+H29</f>
        <v>624.6</v>
      </c>
      <c r="F29" s="36"/>
      <c r="G29" s="37"/>
      <c r="H29" s="37">
        <v>624.6</v>
      </c>
      <c r="I29" s="11">
        <f>J29+K29+L29</f>
        <v>0</v>
      </c>
      <c r="J29" s="11"/>
      <c r="K29" s="11"/>
      <c r="L29" s="11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2688.5</v>
      </c>
      <c r="E31" s="35">
        <f>F31+G31+H31</f>
        <v>2675.9</v>
      </c>
      <c r="F31" s="11">
        <f>SUM(F33+F38+F39+F40)</f>
        <v>1295</v>
      </c>
      <c r="G31" s="11">
        <f>G33+G38+G39+G40</f>
        <v>1229.5</v>
      </c>
      <c r="H31" s="11">
        <f>SUM(H33+H38+H39+H40)</f>
        <v>151.4</v>
      </c>
      <c r="I31" s="11">
        <f>J31+K31+L31</f>
        <v>12.6</v>
      </c>
      <c r="J31" s="11">
        <f>J33+J38+J40</f>
        <v>12.6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1486.7</v>
      </c>
      <c r="E33" s="11">
        <f>F33+G33+H33</f>
        <v>1486.7</v>
      </c>
      <c r="F33" s="16">
        <f>SUM(F34:F37)</f>
        <v>176.5</v>
      </c>
      <c r="G33" s="16">
        <f>SUM(G34:G37)</f>
        <v>1229.5</v>
      </c>
      <c r="H33" s="16">
        <f>SUM(H34:H37)</f>
        <v>80.7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0">E34+I34</f>
        <v>0</v>
      </c>
      <c r="E34" s="11">
        <f t="shared" ref="E34:E46" si="11">F34+G34+H34</f>
        <v>0</v>
      </c>
      <c r="F34" s="17"/>
      <c r="G34" s="17"/>
      <c r="H34" s="17"/>
      <c r="I34" s="11">
        <f t="shared" ref="I34:I46" si="12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0"/>
        <v>304.60000000000002</v>
      </c>
      <c r="E35" s="11">
        <f t="shared" si="11"/>
        <v>304.60000000000002</v>
      </c>
      <c r="F35" s="17">
        <v>176.5</v>
      </c>
      <c r="G35" s="17">
        <v>47.4</v>
      </c>
      <c r="H35" s="17">
        <f>43.1+37.6</f>
        <v>80.7</v>
      </c>
      <c r="I35" s="11">
        <f t="shared" si="12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0"/>
        <v>0</v>
      </c>
      <c r="E36" s="11">
        <f t="shared" si="11"/>
        <v>0</v>
      </c>
      <c r="F36" s="17"/>
      <c r="G36" s="17"/>
      <c r="H36" s="17"/>
      <c r="I36" s="11">
        <f t="shared" si="12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0"/>
        <v>1182.0999999999999</v>
      </c>
      <c r="E37" s="11">
        <f t="shared" si="11"/>
        <v>1182.0999999999999</v>
      </c>
      <c r="F37" s="17"/>
      <c r="G37" s="17">
        <v>1182.0999999999999</v>
      </c>
      <c r="H37" s="17"/>
      <c r="I37" s="11">
        <f t="shared" si="12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10"/>
        <v>0</v>
      </c>
      <c r="E38" s="11">
        <f t="shared" si="11"/>
        <v>0</v>
      </c>
      <c r="F38" s="19"/>
      <c r="G38" s="17"/>
      <c r="H38" s="17"/>
      <c r="I38" s="11">
        <f t="shared" si="12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10"/>
        <v>0</v>
      </c>
      <c r="E39" s="11">
        <f t="shared" si="11"/>
        <v>0</v>
      </c>
      <c r="F39" s="17"/>
      <c r="G39" s="17"/>
      <c r="H39" s="17"/>
      <c r="I39" s="11">
        <f t="shared" si="12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1201.8</v>
      </c>
      <c r="E40" s="11">
        <f>F40+G40+H40</f>
        <v>1189.2</v>
      </c>
      <c r="F40" s="17">
        <f>SUM(F41:F45)</f>
        <v>1118.5</v>
      </c>
      <c r="G40" s="17">
        <f>SUM(G41:G46)</f>
        <v>0</v>
      </c>
      <c r="H40" s="17">
        <f>SUM(H41:H45)</f>
        <v>70.7</v>
      </c>
      <c r="I40" s="11">
        <f t="shared" si="12"/>
        <v>12.6</v>
      </c>
      <c r="J40" s="17">
        <f>SUM(J41:J46)</f>
        <v>12.6</v>
      </c>
      <c r="K40" s="17">
        <f>SUM(K41:K46)</f>
        <v>0</v>
      </c>
      <c r="L40" s="17">
        <f>SUM(L41:L46)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0"/>
        <v>0</v>
      </c>
      <c r="E41" s="11">
        <f t="shared" si="11"/>
        <v>0</v>
      </c>
      <c r="F41" s="17"/>
      <c r="G41" s="17"/>
      <c r="H41" s="17"/>
      <c r="I41" s="11">
        <f t="shared" si="12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0"/>
        <v>0</v>
      </c>
      <c r="E42" s="11">
        <f t="shared" si="11"/>
        <v>0</v>
      </c>
      <c r="F42" s="17"/>
      <c r="G42" s="17"/>
      <c r="H42" s="17"/>
      <c r="I42" s="11">
        <f t="shared" si="12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0"/>
        <v>0</v>
      </c>
      <c r="E43" s="11">
        <f t="shared" si="11"/>
        <v>0</v>
      </c>
      <c r="F43" s="17"/>
      <c r="G43" s="17"/>
      <c r="H43" s="17"/>
      <c r="I43" s="11">
        <f t="shared" si="12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1201.8</v>
      </c>
      <c r="E44" s="11">
        <f t="shared" si="11"/>
        <v>1189.2</v>
      </c>
      <c r="F44" s="17">
        <v>1118.5</v>
      </c>
      <c r="G44" s="17"/>
      <c r="H44" s="17">
        <v>70.7</v>
      </c>
      <c r="I44" s="11">
        <f t="shared" si="12"/>
        <v>12.6</v>
      </c>
      <c r="J44" s="17">
        <v>12.6</v>
      </c>
      <c r="K44" s="17"/>
      <c r="L44" s="17"/>
    </row>
    <row r="45" spans="1:12" x14ac:dyDescent="0.2">
      <c r="A45" s="14" t="s">
        <v>86</v>
      </c>
      <c r="B45" s="19"/>
      <c r="C45" s="28"/>
      <c r="D45" s="16">
        <f>E45+I45</f>
        <v>0</v>
      </c>
      <c r="E45" s="11">
        <f t="shared" si="11"/>
        <v>0</v>
      </c>
      <c r="F45" s="17"/>
      <c r="G45" s="17"/>
      <c r="H45" s="17"/>
      <c r="I45" s="11">
        <f t="shared" si="12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10"/>
        <v>0</v>
      </c>
      <c r="E46" s="11">
        <f t="shared" si="11"/>
        <v>0</v>
      </c>
      <c r="F46" s="17"/>
      <c r="G46" s="17"/>
      <c r="H46" s="17"/>
      <c r="I46" s="11">
        <f t="shared" si="12"/>
        <v>0</v>
      </c>
      <c r="J46" s="17"/>
      <c r="K46" s="17"/>
      <c r="L46" s="17"/>
    </row>
    <row r="47" spans="1:12" ht="25.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3"/>
      <c r="C55" s="33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2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1"/>
  <sheetViews>
    <sheetView zoomScaleNormal="100" workbookViewId="0">
      <pane xSplit="3" ySplit="5" topLeftCell="D6" activePane="bottomRight" state="frozen"/>
      <selection activeCell="G46" sqref="G46"/>
      <selection pane="topRight" activeCell="G46" sqref="G46"/>
      <selection pane="bottomLeft" activeCell="G46" sqref="G46"/>
      <selection pane="bottomRight" activeCell="G6" sqref="G6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84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11060.600000000002</v>
      </c>
      <c r="E6" s="11">
        <f>F6+G6+H6</f>
        <v>11053.400000000001</v>
      </c>
      <c r="F6" s="12">
        <f>F8+F14+F28+F29+F31+F46</f>
        <v>12.6</v>
      </c>
      <c r="G6" s="12">
        <f>G8+G14+G28+G29+G31</f>
        <v>10027.1</v>
      </c>
      <c r="H6" s="12">
        <f>H8+H14+H28+H29+H31</f>
        <v>1013.7</v>
      </c>
      <c r="I6" s="12">
        <f>J6+K6+L6</f>
        <v>7.2</v>
      </c>
      <c r="J6" s="12">
        <f>J8+J14+J28+J29+J31</f>
        <v>7.2</v>
      </c>
      <c r="K6" s="12"/>
      <c r="L6" s="12"/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9751.3000000000011</v>
      </c>
      <c r="E8" s="11">
        <f>F8+G8+H8</f>
        <v>9748.7000000000007</v>
      </c>
      <c r="F8" s="11">
        <f>F10+F11+F13</f>
        <v>12.6</v>
      </c>
      <c r="G8" s="11">
        <f>G10+G11+G13</f>
        <v>9736.1</v>
      </c>
      <c r="H8" s="11">
        <f>H10+H11+H13</f>
        <v>0</v>
      </c>
      <c r="I8" s="11">
        <f>J8+K8+L8</f>
        <v>2.6</v>
      </c>
      <c r="J8" s="11">
        <f t="shared" ref="J8:L8" si="0">J10+J11+J13</f>
        <v>2.6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7506.2</v>
      </c>
      <c r="E10" s="11">
        <f>F10+G10+H10</f>
        <v>7504.2</v>
      </c>
      <c r="F10" s="19">
        <v>9.6999999999999993</v>
      </c>
      <c r="G10" s="17">
        <f>7464.8+29.7</f>
        <v>7494.5</v>
      </c>
      <c r="H10" s="17"/>
      <c r="I10" s="11">
        <f t="shared" ref="I10:I13" si="1">J10+K10+L10</f>
        <v>2</v>
      </c>
      <c r="J10" s="17">
        <v>2</v>
      </c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1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2245.1</v>
      </c>
      <c r="E13" s="11">
        <f>F13+G13+H13</f>
        <v>2244.5</v>
      </c>
      <c r="F13" s="19">
        <v>2.9</v>
      </c>
      <c r="G13" s="17">
        <f>2232.7+8.9</f>
        <v>2241.6</v>
      </c>
      <c r="H13" s="17"/>
      <c r="I13" s="11">
        <f t="shared" si="1"/>
        <v>0.6</v>
      </c>
      <c r="J13" s="17">
        <v>0.6</v>
      </c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271.20000000000005</v>
      </c>
      <c r="E14" s="11">
        <f>F14+G14+H14</f>
        <v>269.60000000000002</v>
      </c>
      <c r="F14" s="23">
        <f>F16+F18+F19+F20+F21+F25</f>
        <v>0</v>
      </c>
      <c r="G14" s="23">
        <f t="shared" ref="G14:J14" si="4">G16+G18+G19+G20+G21+G25</f>
        <v>91.5</v>
      </c>
      <c r="H14" s="23">
        <f t="shared" si="4"/>
        <v>178.1</v>
      </c>
      <c r="I14" s="11">
        <f>J14+K14+L14</f>
        <v>1.6</v>
      </c>
      <c r="J14" s="23">
        <f t="shared" si="4"/>
        <v>1.6</v>
      </c>
      <c r="K14" s="23">
        <f>#N/A</f>
        <v>0</v>
      </c>
      <c r="L14" s="23">
        <f>#N/A</f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40.200000000000003</v>
      </c>
      <c r="E16" s="11">
        <f>F16+G16+H16</f>
        <v>40.200000000000003</v>
      </c>
      <c r="F16" s="19"/>
      <c r="G16" s="17">
        <v>17.5</v>
      </c>
      <c r="H16" s="17">
        <f>10.2+12.5</f>
        <v>22.7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3.2</v>
      </c>
      <c r="E18" s="11">
        <f t="shared" ref="E18:E27" si="7">F18+G18+H18</f>
        <v>3.2</v>
      </c>
      <c r="F18" s="19"/>
      <c r="G18" s="17"/>
      <c r="H18" s="17">
        <f>3.2</f>
        <v>3.2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35.699999999999996</v>
      </c>
      <c r="E19" s="11">
        <f t="shared" si="7"/>
        <v>35.699999999999996</v>
      </c>
      <c r="F19" s="19"/>
      <c r="G19" s="17"/>
      <c r="H19" s="17">
        <f>32.3+3.4</f>
        <v>35.699999999999996</v>
      </c>
      <c r="I19" s="11">
        <f t="shared" si="6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36</v>
      </c>
      <c r="E21" s="11">
        <f t="shared" si="7"/>
        <v>36</v>
      </c>
      <c r="F21" s="21">
        <f>F22+F23+F24</f>
        <v>0</v>
      </c>
      <c r="G21" s="21">
        <f t="shared" ref="G21:H21" si="8">G22+G23+G24</f>
        <v>0</v>
      </c>
      <c r="H21" s="21">
        <f t="shared" si="8"/>
        <v>36</v>
      </c>
      <c r="I21" s="11">
        <f t="shared" si="6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36</v>
      </c>
      <c r="E22" s="11">
        <f t="shared" si="7"/>
        <v>36</v>
      </c>
      <c r="F22" s="19"/>
      <c r="G22" s="17"/>
      <c r="H22" s="17">
        <v>36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0</v>
      </c>
      <c r="E23" s="11">
        <f t="shared" si="7"/>
        <v>0</v>
      </c>
      <c r="F23" s="19"/>
      <c r="G23" s="17"/>
      <c r="H23" s="17"/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156.1</v>
      </c>
      <c r="E25" s="11">
        <f t="shared" si="7"/>
        <v>154.5</v>
      </c>
      <c r="F25" s="19"/>
      <c r="G25" s="17">
        <f>74</f>
        <v>74</v>
      </c>
      <c r="H25" s="17">
        <f>80.5</f>
        <v>80.5</v>
      </c>
      <c r="I25" s="11">
        <f t="shared" si="6"/>
        <v>1.6</v>
      </c>
      <c r="J25" s="17">
        <v>1.6</v>
      </c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27.3</v>
      </c>
      <c r="E26" s="11">
        <f t="shared" si="7"/>
        <v>27.3</v>
      </c>
      <c r="F26" s="19"/>
      <c r="G26" s="17"/>
      <c r="H26" s="17">
        <v>27.3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19.3</v>
      </c>
      <c r="E28" s="35">
        <f>F28+G28+H28</f>
        <v>19.3</v>
      </c>
      <c r="F28" s="36"/>
      <c r="G28" s="37">
        <v>19.3</v>
      </c>
      <c r="H28" s="37"/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58.5</v>
      </c>
      <c r="E29" s="35">
        <f>F29+G29+H29</f>
        <v>58.5</v>
      </c>
      <c r="F29" s="36"/>
      <c r="G29" s="37"/>
      <c r="H29" s="37">
        <f>0.2+58.3</f>
        <v>58.5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960.3</v>
      </c>
      <c r="E31" s="35">
        <f>F31+G31+H31</f>
        <v>957.3</v>
      </c>
      <c r="F31" s="11">
        <f>SUM(F33+F40+F38+F39)</f>
        <v>0</v>
      </c>
      <c r="G31" s="11">
        <f>G33+G38+G39+G40</f>
        <v>180.2</v>
      </c>
      <c r="H31" s="11">
        <f>SUM(H33+H40+H38+H39)</f>
        <v>777.1</v>
      </c>
      <c r="I31" s="11">
        <f>J31+K31+L31</f>
        <v>3</v>
      </c>
      <c r="J31" s="11">
        <f>J33+J38+J40</f>
        <v>3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258.89999999999998</v>
      </c>
      <c r="E33" s="11">
        <f>F33+G33+H33</f>
        <v>258.89999999999998</v>
      </c>
      <c r="F33" s="16">
        <f>SUM(F34:F37)</f>
        <v>0</v>
      </c>
      <c r="G33" s="16">
        <f>SUM(G34:G37)</f>
        <v>180.2</v>
      </c>
      <c r="H33" s="16">
        <f>SUM(H34:H37)</f>
        <v>78.7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178</v>
      </c>
      <c r="E35" s="11">
        <f t="shared" si="10"/>
        <v>178</v>
      </c>
      <c r="F35" s="17"/>
      <c r="G35" s="17">
        <v>99.3</v>
      </c>
      <c r="H35" s="17">
        <v>78.7</v>
      </c>
      <c r="I35" s="11">
        <f t="shared" si="11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80.900000000000006</v>
      </c>
      <c r="E37" s="11">
        <f t="shared" si="10"/>
        <v>80.900000000000006</v>
      </c>
      <c r="F37" s="17"/>
      <c r="G37" s="17">
        <v>80.900000000000006</v>
      </c>
      <c r="H37" s="17"/>
      <c r="I37" s="11">
        <f t="shared" si="11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7"/>
      <c r="I38" s="11">
        <f t="shared" si="11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701.4</v>
      </c>
      <c r="E40" s="11">
        <f>F40+G40+H40</f>
        <v>698.4</v>
      </c>
      <c r="F40" s="17">
        <f>SUM(F41:F45)</f>
        <v>0</v>
      </c>
      <c r="G40" s="17">
        <f>SUM(G41:G45)</f>
        <v>0</v>
      </c>
      <c r="H40" s="17">
        <f>SUM(H41:H45)</f>
        <v>698.4</v>
      </c>
      <c r="I40" s="11">
        <f t="shared" si="11"/>
        <v>3</v>
      </c>
      <c r="J40" s="17">
        <f>SUM(J41:J45)</f>
        <v>3</v>
      </c>
      <c r="K40" s="17">
        <f>SUM(K41:K45)</f>
        <v>0</v>
      </c>
      <c r="L40" s="17">
        <f>SUM(L41:L45)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0</v>
      </c>
      <c r="E41" s="11">
        <f t="shared" si="10"/>
        <v>0</v>
      </c>
      <c r="F41" s="17"/>
      <c r="G41" s="17"/>
      <c r="H41" s="17"/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0</v>
      </c>
      <c r="E43" s="11">
        <f t="shared" si="10"/>
        <v>0</v>
      </c>
      <c r="F43" s="17"/>
      <c r="G43" s="17"/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701.4</v>
      </c>
      <c r="E44" s="11">
        <f t="shared" si="10"/>
        <v>698.4</v>
      </c>
      <c r="F44" s="17"/>
      <c r="G44" s="17"/>
      <c r="H44" s="17">
        <v>698.4</v>
      </c>
      <c r="I44" s="11">
        <f t="shared" si="11"/>
        <v>3</v>
      </c>
      <c r="J44" s="17">
        <v>3</v>
      </c>
      <c r="K44" s="17"/>
      <c r="L44" s="17"/>
    </row>
    <row r="45" spans="1:12" x14ac:dyDescent="0.2">
      <c r="A45" s="14" t="s">
        <v>64</v>
      </c>
      <c r="B45" s="19"/>
      <c r="C45" s="28">
        <v>36</v>
      </c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ht="25.5" x14ac:dyDescent="0.2">
      <c r="A46" s="25" t="s">
        <v>65</v>
      </c>
      <c r="B46" s="23" t="s">
        <v>66</v>
      </c>
      <c r="C46" s="23">
        <v>37</v>
      </c>
      <c r="D46" s="16">
        <f t="shared" si="9"/>
        <v>0</v>
      </c>
      <c r="E46" s="11">
        <f t="shared" si="10"/>
        <v>0</v>
      </c>
      <c r="F46" s="25"/>
      <c r="G46" s="25"/>
      <c r="H46" s="25"/>
      <c r="I46" s="11">
        <f t="shared" si="11"/>
        <v>0</v>
      </c>
      <c r="J46" s="25"/>
      <c r="K46" s="25"/>
      <c r="L46" s="25"/>
    </row>
    <row r="47" spans="1:12" x14ac:dyDescent="0.2">
      <c r="A47" s="32"/>
      <c r="B47" s="33"/>
      <c r="C47" s="33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pageSetup paperSize="9" scale="53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2"/>
  <sheetViews>
    <sheetView zoomScaleNormal="100" workbookViewId="0">
      <pane xSplit="3" ySplit="5" topLeftCell="F6" activePane="bottomRight" state="frozen"/>
      <selection activeCell="G46" sqref="G46"/>
      <selection pane="topRight" activeCell="G46" sqref="G46"/>
      <selection pane="bottomLeft" activeCell="G46" sqref="G46"/>
      <selection pane="bottomRight" activeCell="J43" sqref="J43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85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27885.499999999996</v>
      </c>
      <c r="E6" s="11">
        <f>F6+G6+H6</f>
        <v>26836.199999999997</v>
      </c>
      <c r="F6" s="12">
        <f>F8+F14+F28+F29+F31+F46</f>
        <v>39.700000000000003</v>
      </c>
      <c r="G6" s="12">
        <f>G8+G14+G28+G29+G31</f>
        <v>21784.299999999996</v>
      </c>
      <c r="H6" s="12">
        <f>H8+H14+H28+H29+H31</f>
        <v>5012.2</v>
      </c>
      <c r="I6" s="12">
        <f>J6+K6+L6</f>
        <v>1049.3</v>
      </c>
      <c r="J6" s="12">
        <f t="shared" ref="J6:L6" si="0">J8+J14+J28+J29+J31</f>
        <v>1049.3</v>
      </c>
      <c r="K6" s="12">
        <f t="shared" si="0"/>
        <v>0</v>
      </c>
      <c r="L6" s="12">
        <f t="shared" si="0"/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21602.999999999996</v>
      </c>
      <c r="E8" s="11">
        <f>F8+G8+H8</f>
        <v>21528.999999999996</v>
      </c>
      <c r="F8" s="11">
        <f>F10+F11+F13</f>
        <v>39.700000000000003</v>
      </c>
      <c r="G8" s="11">
        <f>G10+G11+G13</f>
        <v>19669.699999999997</v>
      </c>
      <c r="H8" s="11">
        <f>H10+H11+H13</f>
        <v>1819.6</v>
      </c>
      <c r="I8" s="11">
        <f>J8+K8+L8</f>
        <v>74</v>
      </c>
      <c r="J8" s="11">
        <f t="shared" ref="J8:L8" si="1">J10+J11+J13</f>
        <v>74</v>
      </c>
      <c r="K8" s="11">
        <f t="shared" si="1"/>
        <v>0</v>
      </c>
      <c r="L8" s="11">
        <f t="shared" si="1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16844</v>
      </c>
      <c r="E10" s="11">
        <f>F10+G10+H10</f>
        <v>16777.3</v>
      </c>
      <c r="F10" s="19">
        <v>30.5</v>
      </c>
      <c r="G10" s="17">
        <f>15242.3+112.4</f>
        <v>15354.699999999999</v>
      </c>
      <c r="H10" s="17">
        <f>1392.1</f>
        <v>1392.1</v>
      </c>
      <c r="I10" s="11">
        <f t="shared" ref="I10:I13" si="2">J10+K10+L10</f>
        <v>66.7</v>
      </c>
      <c r="J10" s="17">
        <v>66.7</v>
      </c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14.4</v>
      </c>
      <c r="E11" s="11">
        <f>F11+G11+H11</f>
        <v>14.4</v>
      </c>
      <c r="F11" s="19"/>
      <c r="G11" s="17"/>
      <c r="H11" s="17">
        <v>14.4</v>
      </c>
      <c r="I11" s="11">
        <f t="shared" si="2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3">E12+I12</f>
        <v>0</v>
      </c>
      <c r="E12" s="11">
        <f t="shared" ref="E12" si="4">F12+G12+H12</f>
        <v>0</v>
      </c>
      <c r="F12" s="19"/>
      <c r="G12" s="17"/>
      <c r="H12" s="17"/>
      <c r="I12" s="11">
        <f t="shared" si="2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3"/>
        <v>4744.6000000000004</v>
      </c>
      <c r="E13" s="11">
        <f>F13+G13+H13</f>
        <v>4737.3</v>
      </c>
      <c r="F13" s="19">
        <v>9.1999999999999993</v>
      </c>
      <c r="G13" s="17">
        <f>4282.1+32.9</f>
        <v>4315</v>
      </c>
      <c r="H13" s="17">
        <f>413.1</f>
        <v>413.1</v>
      </c>
      <c r="I13" s="11">
        <f t="shared" si="2"/>
        <v>7.3</v>
      </c>
      <c r="J13" s="17">
        <v>7.3</v>
      </c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4142.8999999999996</v>
      </c>
      <c r="E14" s="11">
        <f>F14+G14+H14</f>
        <v>4108.5</v>
      </c>
      <c r="F14" s="23">
        <f>F16+F18+F19+F20+F21+F25</f>
        <v>0</v>
      </c>
      <c r="G14" s="23">
        <f t="shared" ref="G14:L14" si="5">G16+G18+G19+G20+G21+G25</f>
        <v>1345.8</v>
      </c>
      <c r="H14" s="23">
        <f t="shared" si="5"/>
        <v>2762.7</v>
      </c>
      <c r="I14" s="23">
        <f t="shared" si="5"/>
        <v>34.4</v>
      </c>
      <c r="J14" s="23">
        <f t="shared" si="5"/>
        <v>34.4</v>
      </c>
      <c r="K14" s="23">
        <f t="shared" si="5"/>
        <v>0</v>
      </c>
      <c r="L14" s="23">
        <f t="shared" si="5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6">E16+I16</f>
        <v>54.6</v>
      </c>
      <c r="E16" s="11">
        <f>F16+G16+H16</f>
        <v>54.6</v>
      </c>
      <c r="F16" s="19"/>
      <c r="G16" s="17">
        <v>19</v>
      </c>
      <c r="H16" s="17">
        <f>23.1+12.5</f>
        <v>35.6</v>
      </c>
      <c r="I16" s="11">
        <f t="shared" ref="I16:I27" si="7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6"/>
        <v>0</v>
      </c>
      <c r="E17" s="11">
        <f>F17+G17+H17</f>
        <v>0</v>
      </c>
      <c r="F17" s="19"/>
      <c r="G17" s="17"/>
      <c r="H17" s="17"/>
      <c r="I17" s="11">
        <f t="shared" si="7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6"/>
        <v>1679.3999999999999</v>
      </c>
      <c r="E18" s="11">
        <f t="shared" ref="E18:E27" si="8">F18+G18+H18</f>
        <v>1679.3999999999999</v>
      </c>
      <c r="F18" s="19"/>
      <c r="G18" s="17">
        <v>350.3</v>
      </c>
      <c r="H18" s="17">
        <f>6.5+1322.6</f>
        <v>1329.1</v>
      </c>
      <c r="I18" s="11">
        <f t="shared" si="7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6"/>
        <v>1123.5999999999999</v>
      </c>
      <c r="E19" s="11">
        <f t="shared" si="8"/>
        <v>1123.5999999999999</v>
      </c>
      <c r="F19" s="19"/>
      <c r="G19" s="17"/>
      <c r="H19" s="17">
        <f>96.9+175.6+851.1</f>
        <v>1123.5999999999999</v>
      </c>
      <c r="I19" s="11">
        <f t="shared" si="7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6"/>
        <v>0</v>
      </c>
      <c r="E20" s="11">
        <f t="shared" si="8"/>
        <v>0</v>
      </c>
      <c r="F20" s="19"/>
      <c r="G20" s="17"/>
      <c r="H20" s="17"/>
      <c r="I20" s="11">
        <f t="shared" si="7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6"/>
        <v>1074.9000000000001</v>
      </c>
      <c r="E21" s="11">
        <f t="shared" si="8"/>
        <v>1074.9000000000001</v>
      </c>
      <c r="F21" s="21">
        <f>F22+F23+F24</f>
        <v>0</v>
      </c>
      <c r="G21" s="21">
        <f t="shared" ref="G21:L21" si="9">G22+G23+G24</f>
        <v>976.5</v>
      </c>
      <c r="H21" s="21">
        <f t="shared" si="9"/>
        <v>98.4</v>
      </c>
      <c r="I21" s="11">
        <f t="shared" si="7"/>
        <v>0</v>
      </c>
      <c r="J21" s="21">
        <f t="shared" si="9"/>
        <v>0</v>
      </c>
      <c r="K21" s="21">
        <f t="shared" si="9"/>
        <v>0</v>
      </c>
      <c r="L21" s="21">
        <f t="shared" si="9"/>
        <v>0</v>
      </c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6"/>
        <v>98.4</v>
      </c>
      <c r="E22" s="11">
        <f t="shared" si="8"/>
        <v>98.4</v>
      </c>
      <c r="F22" s="19"/>
      <c r="G22" s="17"/>
      <c r="H22" s="17">
        <f>98.4</f>
        <v>98.4</v>
      </c>
      <c r="I22" s="11">
        <f t="shared" si="7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6"/>
        <v>976.5</v>
      </c>
      <c r="E23" s="11">
        <f t="shared" si="8"/>
        <v>976.5</v>
      </c>
      <c r="F23" s="19"/>
      <c r="G23" s="17">
        <f>500+476.5</f>
        <v>976.5</v>
      </c>
      <c r="H23" s="17"/>
      <c r="I23" s="11">
        <f t="shared" si="7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6"/>
        <v>0</v>
      </c>
      <c r="E24" s="11">
        <f t="shared" si="8"/>
        <v>0</v>
      </c>
      <c r="F24" s="19"/>
      <c r="G24" s="17"/>
      <c r="H24" s="17"/>
      <c r="I24" s="11">
        <f t="shared" si="7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210.4</v>
      </c>
      <c r="E25" s="11">
        <f t="shared" si="8"/>
        <v>176</v>
      </c>
      <c r="F25" s="19"/>
      <c r="G25" s="17"/>
      <c r="H25" s="17">
        <f>176</f>
        <v>176</v>
      </c>
      <c r="I25" s="11">
        <f t="shared" si="7"/>
        <v>34.4</v>
      </c>
      <c r="J25" s="17">
        <v>34.4</v>
      </c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6"/>
        <v>0</v>
      </c>
      <c r="E26" s="11">
        <f t="shared" si="8"/>
        <v>0</v>
      </c>
      <c r="F26" s="19"/>
      <c r="G26" s="17"/>
      <c r="H26" s="17"/>
      <c r="I26" s="11">
        <f t="shared" si="7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6"/>
        <v>0</v>
      </c>
      <c r="E27" s="11">
        <f t="shared" si="8"/>
        <v>0</v>
      </c>
      <c r="F27" s="19"/>
      <c r="G27" s="17"/>
      <c r="H27" s="17"/>
      <c r="I27" s="11">
        <f t="shared" si="7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6.5</v>
      </c>
      <c r="E28" s="35">
        <f>F28+G28+H28</f>
        <v>6.5</v>
      </c>
      <c r="F28" s="36"/>
      <c r="G28" s="37"/>
      <c r="H28" s="37">
        <v>6.5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184.4</v>
      </c>
      <c r="E29" s="35">
        <f>F29+G29+H29</f>
        <v>180.3</v>
      </c>
      <c r="F29" s="36"/>
      <c r="G29" s="37"/>
      <c r="H29" s="37">
        <f>180.3</f>
        <v>180.3</v>
      </c>
      <c r="I29" s="11">
        <f>J29+K29+L29</f>
        <v>4.0999999999999996</v>
      </c>
      <c r="J29" s="25">
        <v>4.0999999999999996</v>
      </c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1948.6999999999998</v>
      </c>
      <c r="E31" s="35">
        <f>F31+G31+H31</f>
        <v>1011.9</v>
      </c>
      <c r="F31" s="11">
        <f>SUM(F33+F38+F39+F40)</f>
        <v>0</v>
      </c>
      <c r="G31" s="11">
        <f>G33+G38+G39+G40</f>
        <v>768.8</v>
      </c>
      <c r="H31" s="11">
        <f>SUM(H33+H38+H39+H40)</f>
        <v>243.10000000000002</v>
      </c>
      <c r="I31" s="11">
        <f>J31+K31+L31</f>
        <v>936.8</v>
      </c>
      <c r="J31" s="11">
        <f>J33+J38+J40</f>
        <v>936.8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376.1</v>
      </c>
      <c r="E33" s="11">
        <f>F33+G33+H33</f>
        <v>376.1</v>
      </c>
      <c r="F33" s="16">
        <f>SUM(F34:F37)</f>
        <v>0</v>
      </c>
      <c r="G33" s="16">
        <f>SUM(G34:G37)</f>
        <v>376.1</v>
      </c>
      <c r="H33" s="16">
        <f>SUM(H34:H37)</f>
        <v>0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0">E34+I34</f>
        <v>0</v>
      </c>
      <c r="E34" s="11">
        <f t="shared" ref="E34:E46" si="11">F34+G34+H34</f>
        <v>0</v>
      </c>
      <c r="F34" s="17"/>
      <c r="G34" s="17"/>
      <c r="H34" s="17"/>
      <c r="I34" s="11">
        <f t="shared" ref="I34:I46" si="12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0"/>
        <v>0</v>
      </c>
      <c r="E35" s="11">
        <f t="shared" si="11"/>
        <v>0</v>
      </c>
      <c r="F35" s="17"/>
      <c r="G35" s="17"/>
      <c r="H35" s="17"/>
      <c r="I35" s="11">
        <f t="shared" si="12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0"/>
        <v>0</v>
      </c>
      <c r="E36" s="11">
        <f t="shared" si="11"/>
        <v>0</v>
      </c>
      <c r="F36" s="17"/>
      <c r="G36" s="17"/>
      <c r="H36" s="17"/>
      <c r="I36" s="11">
        <f t="shared" si="12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0"/>
        <v>376.1</v>
      </c>
      <c r="E37" s="11">
        <f t="shared" si="11"/>
        <v>376.1</v>
      </c>
      <c r="F37" s="17"/>
      <c r="G37" s="17">
        <v>376.1</v>
      </c>
      <c r="H37" s="17"/>
      <c r="I37" s="11">
        <f t="shared" si="12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10"/>
        <v>0</v>
      </c>
      <c r="E38" s="11">
        <f t="shared" si="11"/>
        <v>0</v>
      </c>
      <c r="F38" s="19"/>
      <c r="G38" s="17"/>
      <c r="H38" s="17"/>
      <c r="I38" s="11">
        <f t="shared" si="12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10"/>
        <v>0</v>
      </c>
      <c r="E39" s="11">
        <f t="shared" si="11"/>
        <v>0</v>
      </c>
      <c r="F39" s="17"/>
      <c r="G39" s="17"/>
      <c r="H39" s="17"/>
      <c r="I39" s="11">
        <f t="shared" si="12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1572.6</v>
      </c>
      <c r="E40" s="11">
        <f>F40+G40+H40</f>
        <v>635.79999999999995</v>
      </c>
      <c r="F40" s="17">
        <f>SUM(F41:F45)</f>
        <v>0</v>
      </c>
      <c r="G40" s="17">
        <f>SUM(G41:G46)</f>
        <v>392.7</v>
      </c>
      <c r="H40" s="17">
        <f>SUM(H41:H45)</f>
        <v>243.10000000000002</v>
      </c>
      <c r="I40" s="11">
        <f t="shared" si="12"/>
        <v>936.8</v>
      </c>
      <c r="J40" s="17">
        <f>SUM(J41:J46)</f>
        <v>936.8</v>
      </c>
      <c r="K40" s="17">
        <f>SUM(K41:K46)</f>
        <v>0</v>
      </c>
      <c r="L40" s="17">
        <f>SUM(L41:L46)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0"/>
        <v>5.8</v>
      </c>
      <c r="E41" s="11">
        <f t="shared" si="11"/>
        <v>5.8</v>
      </c>
      <c r="F41" s="17"/>
      <c r="G41" s="17"/>
      <c r="H41" s="17">
        <f>5.8</f>
        <v>5.8</v>
      </c>
      <c r="I41" s="11">
        <f t="shared" si="12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0"/>
        <v>60</v>
      </c>
      <c r="E42" s="11">
        <f t="shared" si="11"/>
        <v>0</v>
      </c>
      <c r="F42" s="17"/>
      <c r="G42" s="17"/>
      <c r="H42" s="17"/>
      <c r="I42" s="11">
        <f t="shared" si="12"/>
        <v>60</v>
      </c>
      <c r="J42" s="17">
        <v>60</v>
      </c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0"/>
        <v>1426.4</v>
      </c>
      <c r="E43" s="11">
        <f t="shared" si="11"/>
        <v>565.6</v>
      </c>
      <c r="F43" s="17"/>
      <c r="G43" s="17">
        <v>392.7</v>
      </c>
      <c r="H43" s="17">
        <v>172.9</v>
      </c>
      <c r="I43" s="11">
        <f t="shared" si="12"/>
        <v>860.8</v>
      </c>
      <c r="J43" s="17">
        <v>860.8</v>
      </c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80.400000000000006</v>
      </c>
      <c r="E44" s="11">
        <f t="shared" si="11"/>
        <v>64.400000000000006</v>
      </c>
      <c r="F44" s="17"/>
      <c r="G44" s="17"/>
      <c r="H44" s="17">
        <f>64.4</f>
        <v>64.400000000000006</v>
      </c>
      <c r="I44" s="11">
        <f t="shared" si="12"/>
        <v>16</v>
      </c>
      <c r="J44" s="17">
        <v>16</v>
      </c>
      <c r="K44" s="17"/>
      <c r="L44" s="17"/>
    </row>
    <row r="45" spans="1:12" x14ac:dyDescent="0.2">
      <c r="A45" s="14" t="s">
        <v>86</v>
      </c>
      <c r="B45" s="19">
        <v>3403</v>
      </c>
      <c r="C45" s="28"/>
      <c r="D45" s="16">
        <f>E45+I45</f>
        <v>0</v>
      </c>
      <c r="E45" s="11">
        <f t="shared" si="11"/>
        <v>0</v>
      </c>
      <c r="F45" s="17"/>
      <c r="G45" s="17"/>
      <c r="H45" s="17"/>
      <c r="I45" s="11">
        <f t="shared" si="12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10"/>
        <v>0</v>
      </c>
      <c r="E46" s="11">
        <f t="shared" si="11"/>
        <v>0</v>
      </c>
      <c r="F46" s="17"/>
      <c r="G46" s="17"/>
      <c r="H46" s="17"/>
      <c r="I46" s="11">
        <f t="shared" si="12"/>
        <v>0</v>
      </c>
      <c r="J46" s="17"/>
      <c r="K46" s="17"/>
      <c r="L46" s="17"/>
    </row>
    <row r="47" spans="1:12" ht="25.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3"/>
      <c r="C55" s="33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2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pageSetup paperSize="9" scale="53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2"/>
  <sheetViews>
    <sheetView zoomScaleNormal="100" workbookViewId="0">
      <pane ySplit="5" topLeftCell="A15" activePane="bottomLeft" state="frozen"/>
      <selection activeCell="G46" sqref="G46"/>
      <selection pane="bottomLeft" activeCell="H28" sqref="H28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87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30444.800000000003</v>
      </c>
      <c r="E6" s="11">
        <f>F6+G6+H6</f>
        <v>30444.800000000003</v>
      </c>
      <c r="F6" s="12">
        <f>F8+F14+F28+F29+F31+F46</f>
        <v>947.69999999999993</v>
      </c>
      <c r="G6" s="12">
        <f>G8+G14+G28+G29+G31</f>
        <v>26745.800000000003</v>
      </c>
      <c r="H6" s="12">
        <f>H8+H14+H28+H29+H31</f>
        <v>2751.2999999999997</v>
      </c>
      <c r="I6" s="12">
        <f>J6+K6+L6</f>
        <v>0</v>
      </c>
      <c r="J6" s="12">
        <f>SUM(J8+J14+J28+J29+J31)</f>
        <v>0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24774.100000000002</v>
      </c>
      <c r="E8" s="11">
        <f>F8+G8+H8</f>
        <v>24774.100000000002</v>
      </c>
      <c r="F8" s="11">
        <f>F10+F11+F13</f>
        <v>65.400000000000006</v>
      </c>
      <c r="G8" s="11">
        <f>G10+G11+G13</f>
        <v>24708.7</v>
      </c>
      <c r="H8" s="11">
        <f>H10+H11+H13</f>
        <v>0</v>
      </c>
      <c r="I8" s="11">
        <f>J8+K8+L8</f>
        <v>0</v>
      </c>
      <c r="J8" s="11">
        <f t="shared" ref="J8:L8" si="0">J10+J11+J13</f>
        <v>0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19170.100000000002</v>
      </c>
      <c r="E10" s="11">
        <f>F10+G10+H10</f>
        <v>19170.100000000002</v>
      </c>
      <c r="F10" s="19">
        <v>50.2</v>
      </c>
      <c r="G10" s="17">
        <f>18922.9+197</f>
        <v>19119.900000000001</v>
      </c>
      <c r="H10" s="17"/>
      <c r="I10" s="11">
        <f t="shared" ref="I10:I13" si="1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1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5604</v>
      </c>
      <c r="E13" s="11">
        <f>F13+G13+H13</f>
        <v>5604</v>
      </c>
      <c r="F13" s="19">
        <v>15.2</v>
      </c>
      <c r="G13" s="17">
        <f>5533.1+55.7</f>
        <v>5588.8</v>
      </c>
      <c r="H13" s="17"/>
      <c r="I13" s="11">
        <f t="shared" si="1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3830.8</v>
      </c>
      <c r="E14" s="11">
        <f>F14+G14+H14</f>
        <v>3830.8</v>
      </c>
      <c r="F14" s="23">
        <f>F16+F18+F19+F20+F21+F25</f>
        <v>350</v>
      </c>
      <c r="G14" s="23">
        <f t="shared" ref="G14:L14" si="4">G16+G18+G19+G20+G21+G25</f>
        <v>1241.4000000000001</v>
      </c>
      <c r="H14" s="23">
        <f t="shared" si="4"/>
        <v>2239.4</v>
      </c>
      <c r="I14" s="11">
        <f>J14+K14+L14</f>
        <v>0</v>
      </c>
      <c r="J14" s="23">
        <f t="shared" si="4"/>
        <v>0</v>
      </c>
      <c r="K14" s="23">
        <f t="shared" si="4"/>
        <v>0</v>
      </c>
      <c r="L14" s="23">
        <f t="shared" si="4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5">E16+I16</f>
        <v>97.1</v>
      </c>
      <c r="E16" s="11">
        <f>F16+G16+H16</f>
        <v>97.1</v>
      </c>
      <c r="F16" s="19"/>
      <c r="G16" s="17">
        <f>9.3+17.2</f>
        <v>26.5</v>
      </c>
      <c r="H16" s="17">
        <f>49.6+21</f>
        <v>70.599999999999994</v>
      </c>
      <c r="I16" s="11">
        <f t="shared" ref="I16:I27" si="6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5"/>
        <v>0</v>
      </c>
      <c r="E17" s="11">
        <f>F17+G17+H17</f>
        <v>0</v>
      </c>
      <c r="F17" s="19"/>
      <c r="G17" s="17"/>
      <c r="H17" s="17"/>
      <c r="I17" s="11">
        <f t="shared" si="6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5"/>
        <v>11.9</v>
      </c>
      <c r="E18" s="11">
        <f t="shared" ref="E18:E27" si="7">F18+G18+H18</f>
        <v>11.9</v>
      </c>
      <c r="F18" s="19"/>
      <c r="G18" s="17"/>
      <c r="H18" s="17">
        <f>11.9</f>
        <v>11.9</v>
      </c>
      <c r="I18" s="11">
        <f t="shared" si="6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5"/>
        <v>1195.2</v>
      </c>
      <c r="E19" s="11">
        <f t="shared" si="7"/>
        <v>1195.2</v>
      </c>
      <c r="F19" s="19"/>
      <c r="G19" s="17"/>
      <c r="H19" s="17">
        <f>60.9+157.6+976.7</f>
        <v>1195.2</v>
      </c>
      <c r="I19" s="11">
        <f t="shared" si="6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5"/>
        <v>0</v>
      </c>
      <c r="E20" s="11">
        <f t="shared" si="7"/>
        <v>0</v>
      </c>
      <c r="F20" s="19"/>
      <c r="G20" s="17"/>
      <c r="H20" s="17"/>
      <c r="I20" s="11">
        <f t="shared" si="6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5"/>
        <v>1162.9000000000001</v>
      </c>
      <c r="E21" s="11">
        <f t="shared" si="7"/>
        <v>1162.9000000000001</v>
      </c>
      <c r="F21" s="21">
        <f>F22+F23+F24</f>
        <v>0</v>
      </c>
      <c r="G21" s="21">
        <f t="shared" ref="G21:H21" si="8">G22+G23+G24</f>
        <v>500</v>
      </c>
      <c r="H21" s="21">
        <f t="shared" si="8"/>
        <v>662.90000000000009</v>
      </c>
      <c r="I21" s="11">
        <f t="shared" si="6"/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5"/>
        <v>65.7</v>
      </c>
      <c r="E22" s="11">
        <f t="shared" si="7"/>
        <v>65.7</v>
      </c>
      <c r="F22" s="19"/>
      <c r="G22" s="17"/>
      <c r="H22" s="17">
        <v>65.7</v>
      </c>
      <c r="I22" s="11">
        <f t="shared" si="6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5"/>
        <v>1097.2</v>
      </c>
      <c r="E23" s="11">
        <f t="shared" si="7"/>
        <v>1097.2</v>
      </c>
      <c r="F23" s="19"/>
      <c r="G23" s="17">
        <v>500</v>
      </c>
      <c r="H23" s="17">
        <f>597.2</f>
        <v>597.20000000000005</v>
      </c>
      <c r="I23" s="11">
        <f t="shared" si="6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5"/>
        <v>0</v>
      </c>
      <c r="E24" s="11">
        <f t="shared" si="7"/>
        <v>0</v>
      </c>
      <c r="F24" s="19"/>
      <c r="G24" s="17"/>
      <c r="H24" s="17"/>
      <c r="I24" s="11">
        <f t="shared" si="6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1363.7</v>
      </c>
      <c r="E25" s="11">
        <f t="shared" si="7"/>
        <v>1363.7</v>
      </c>
      <c r="F25" s="19">
        <v>350</v>
      </c>
      <c r="G25" s="17">
        <f>714.9</f>
        <v>714.9</v>
      </c>
      <c r="H25" s="17">
        <f>276.8+22</f>
        <v>298.8</v>
      </c>
      <c r="I25" s="11">
        <f t="shared" si="6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5"/>
        <v>49.8</v>
      </c>
      <c r="E26" s="11">
        <f t="shared" si="7"/>
        <v>49.8</v>
      </c>
      <c r="F26" s="19"/>
      <c r="G26" s="17"/>
      <c r="H26" s="17">
        <v>49.8</v>
      </c>
      <c r="I26" s="11">
        <f t="shared" si="6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5"/>
        <v>36</v>
      </c>
      <c r="E27" s="11">
        <f t="shared" si="7"/>
        <v>36</v>
      </c>
      <c r="F27" s="19"/>
      <c r="G27" s="17"/>
      <c r="H27" s="17">
        <v>36</v>
      </c>
      <c r="I27" s="11">
        <f t="shared" si="6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160.1</v>
      </c>
      <c r="E28" s="35">
        <f>F28+G28+H28</f>
        <v>160.1</v>
      </c>
      <c r="F28" s="36"/>
      <c r="G28" s="37">
        <f>7.9+123.6</f>
        <v>131.5</v>
      </c>
      <c r="H28" s="37">
        <v>28.6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256.60000000000002</v>
      </c>
      <c r="E29" s="35">
        <f>F29+G29+H29</f>
        <v>256.60000000000002</v>
      </c>
      <c r="F29" s="36"/>
      <c r="G29" s="37"/>
      <c r="H29" s="37">
        <v>256.60000000000002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1423.2</v>
      </c>
      <c r="E31" s="35">
        <f>F31+G31+H31</f>
        <v>1423.2</v>
      </c>
      <c r="F31" s="11">
        <f>SUM(F33+F38+F39+F40)</f>
        <v>532.29999999999995</v>
      </c>
      <c r="G31" s="11">
        <f>G33+G38+G39+G40</f>
        <v>664.2</v>
      </c>
      <c r="H31" s="11">
        <f>SUM(H33+H38+H39+H40)</f>
        <v>226.7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818.5</v>
      </c>
      <c r="E33" s="11">
        <f>F33+G33+H33</f>
        <v>818.5</v>
      </c>
      <c r="F33" s="16">
        <f>SUM(F34:F37)</f>
        <v>142.30000000000001</v>
      </c>
      <c r="G33" s="16">
        <f>SUM(G34:G37)</f>
        <v>664.2</v>
      </c>
      <c r="H33" s="16">
        <f>SUM(H34:H37)</f>
        <v>12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9">E34+I34</f>
        <v>0</v>
      </c>
      <c r="E34" s="11">
        <f t="shared" ref="E34:E46" si="10">F34+G34+H34</f>
        <v>0</v>
      </c>
      <c r="F34" s="17"/>
      <c r="G34" s="17"/>
      <c r="H34" s="17"/>
      <c r="I34" s="11">
        <f t="shared" ref="I34:I46" si="11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9"/>
        <v>154.30000000000001</v>
      </c>
      <c r="E35" s="11">
        <f t="shared" si="10"/>
        <v>154.30000000000001</v>
      </c>
      <c r="F35" s="17">
        <v>142.30000000000001</v>
      </c>
      <c r="G35" s="17"/>
      <c r="H35" s="17">
        <v>12</v>
      </c>
      <c r="I35" s="11">
        <f t="shared" si="11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9"/>
        <v>0</v>
      </c>
      <c r="E36" s="11">
        <f t="shared" si="10"/>
        <v>0</v>
      </c>
      <c r="F36" s="17"/>
      <c r="G36" s="17"/>
      <c r="H36" s="17"/>
      <c r="I36" s="11">
        <f t="shared" si="11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9"/>
        <v>664.2</v>
      </c>
      <c r="E37" s="11">
        <f t="shared" si="10"/>
        <v>664.2</v>
      </c>
      <c r="F37" s="17"/>
      <c r="G37" s="17">
        <v>664.2</v>
      </c>
      <c r="H37" s="17"/>
      <c r="I37" s="11">
        <f t="shared" si="11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9"/>
        <v>0</v>
      </c>
      <c r="E38" s="11">
        <f t="shared" si="10"/>
        <v>0</v>
      </c>
      <c r="F38" s="19"/>
      <c r="G38" s="17"/>
      <c r="H38" s="17"/>
      <c r="I38" s="11">
        <f t="shared" si="11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9"/>
        <v>0</v>
      </c>
      <c r="E39" s="11">
        <f t="shared" si="10"/>
        <v>0</v>
      </c>
      <c r="F39" s="17"/>
      <c r="G39" s="17"/>
      <c r="H39" s="17"/>
      <c r="I39" s="11">
        <f t="shared" si="11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604.70000000000005</v>
      </c>
      <c r="E40" s="11">
        <f>F40+G40+H40</f>
        <v>604.70000000000005</v>
      </c>
      <c r="F40" s="17">
        <f>SUM(F41:F45)</f>
        <v>390</v>
      </c>
      <c r="G40" s="17">
        <f>SUM(G41:G46)</f>
        <v>0</v>
      </c>
      <c r="H40" s="17">
        <f>SUM(H41:H45)</f>
        <v>214.7</v>
      </c>
      <c r="I40" s="11">
        <f t="shared" si="11"/>
        <v>0</v>
      </c>
      <c r="J40" s="17">
        <f>SUM(J41:J46)</f>
        <v>0</v>
      </c>
      <c r="K40" s="17">
        <f>SUM(K41:K46)</f>
        <v>0</v>
      </c>
      <c r="L40" s="17">
        <f>SUM(L41:L46)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9"/>
        <v>0</v>
      </c>
      <c r="E41" s="11">
        <f t="shared" si="10"/>
        <v>0</v>
      </c>
      <c r="F41" s="17"/>
      <c r="G41" s="17"/>
      <c r="H41" s="17"/>
      <c r="I41" s="11">
        <f t="shared" si="11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9"/>
        <v>0</v>
      </c>
      <c r="E42" s="11">
        <f t="shared" si="10"/>
        <v>0</v>
      </c>
      <c r="F42" s="17"/>
      <c r="G42" s="17"/>
      <c r="H42" s="17"/>
      <c r="I42" s="11">
        <f t="shared" si="11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9"/>
        <v>0</v>
      </c>
      <c r="E43" s="11">
        <f t="shared" si="10"/>
        <v>0</v>
      </c>
      <c r="F43" s="17"/>
      <c r="G43" s="17"/>
      <c r="H43" s="17"/>
      <c r="I43" s="11">
        <f t="shared" si="11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604.70000000000005</v>
      </c>
      <c r="E44" s="11">
        <f t="shared" si="10"/>
        <v>604.70000000000005</v>
      </c>
      <c r="F44" s="17">
        <v>390</v>
      </c>
      <c r="G44" s="17"/>
      <c r="H44" s="17">
        <f>214.7</f>
        <v>214.7</v>
      </c>
      <c r="I44" s="11">
        <f t="shared" si="11"/>
        <v>0</v>
      </c>
      <c r="J44" s="17"/>
      <c r="K44" s="17"/>
      <c r="L44" s="17"/>
    </row>
    <row r="45" spans="1:12" x14ac:dyDescent="0.2">
      <c r="A45" s="14" t="s">
        <v>86</v>
      </c>
      <c r="B45" s="19"/>
      <c r="C45" s="28"/>
      <c r="D45" s="16">
        <f>E45+I45</f>
        <v>0</v>
      </c>
      <c r="E45" s="11">
        <f t="shared" si="10"/>
        <v>0</v>
      </c>
      <c r="F45" s="17"/>
      <c r="G45" s="17"/>
      <c r="H45" s="17"/>
      <c r="I45" s="11">
        <f t="shared" si="11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9"/>
        <v>0</v>
      </c>
      <c r="E46" s="11">
        <f t="shared" si="10"/>
        <v>0</v>
      </c>
      <c r="F46" s="17"/>
      <c r="G46" s="17"/>
      <c r="H46" s="17"/>
      <c r="I46" s="11">
        <f t="shared" si="11"/>
        <v>0</v>
      </c>
      <c r="J46" s="17"/>
      <c r="K46" s="17"/>
      <c r="L46" s="17"/>
    </row>
    <row r="47" spans="1:12" ht="25.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3"/>
      <c r="C55" s="33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2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pageSetup paperSize="9" scale="53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L112"/>
  <sheetViews>
    <sheetView workbookViewId="0">
      <pane xSplit="3" ySplit="5" topLeftCell="D18" activePane="bottomRight" state="frozen"/>
      <selection activeCell="G46" sqref="G46"/>
      <selection pane="topRight" activeCell="G46" sqref="G46"/>
      <selection pane="bottomLeft" activeCell="G46" sqref="G46"/>
      <selection pane="bottomRight" activeCell="I27" sqref="I27"/>
    </sheetView>
  </sheetViews>
  <sheetFormatPr defaultRowHeight="12.75" x14ac:dyDescent="0.2"/>
  <cols>
    <col min="1" max="1" width="46.7109375" customWidth="1"/>
    <col min="2" max="2" width="12.42578125" customWidth="1"/>
    <col min="3" max="3" width="7.42578125" customWidth="1"/>
    <col min="6" max="6" width="11" customWidth="1"/>
    <col min="7" max="7" width="12.28515625" customWidth="1"/>
    <col min="8" max="8" width="10.7109375" customWidth="1"/>
    <col min="9" max="9" width="11.28515625" customWidth="1"/>
    <col min="10" max="10" width="11.140625" customWidth="1"/>
    <col min="11" max="11" width="10.7109375" customWidth="1"/>
    <col min="12" max="12" width="10.5703125" customWidth="1"/>
  </cols>
  <sheetData>
    <row r="1" spans="1:12" ht="15.75" x14ac:dyDescent="0.25">
      <c r="A1" s="1" t="s">
        <v>68</v>
      </c>
      <c r="G1" s="2" t="s">
        <v>88</v>
      </c>
      <c r="H1" s="2"/>
      <c r="I1" s="2"/>
      <c r="J1" s="2"/>
      <c r="K1" s="2"/>
    </row>
    <row r="2" spans="1:12" x14ac:dyDescent="0.2">
      <c r="A2" s="2"/>
    </row>
    <row r="3" spans="1:12" x14ac:dyDescent="0.2">
      <c r="A3" s="42" t="s">
        <v>0</v>
      </c>
      <c r="B3" s="42" t="s">
        <v>1</v>
      </c>
      <c r="C3" s="42" t="s">
        <v>2</v>
      </c>
      <c r="D3" s="46" t="s">
        <v>3</v>
      </c>
      <c r="E3" s="42" t="s">
        <v>4</v>
      </c>
      <c r="F3" s="42"/>
      <c r="G3" s="42"/>
      <c r="H3" s="42"/>
      <c r="I3" s="43" t="s">
        <v>5</v>
      </c>
      <c r="J3" s="44"/>
      <c r="K3" s="44"/>
      <c r="L3" s="45"/>
    </row>
    <row r="4" spans="1:12" ht="76.5" x14ac:dyDescent="0.2">
      <c r="A4" s="42"/>
      <c r="B4" s="42"/>
      <c r="C4" s="42"/>
      <c r="D4" s="47"/>
      <c r="E4" s="5" t="s">
        <v>6</v>
      </c>
      <c r="F4" s="4" t="s">
        <v>7</v>
      </c>
      <c r="G4" s="4" t="s">
        <v>8</v>
      </c>
      <c r="H4" s="4" t="s">
        <v>9</v>
      </c>
      <c r="I4" s="3" t="s">
        <v>6</v>
      </c>
      <c r="J4" s="3" t="s">
        <v>10</v>
      </c>
      <c r="K4" s="6" t="s">
        <v>11</v>
      </c>
      <c r="L4" s="6" t="s">
        <v>12</v>
      </c>
    </row>
    <row r="5" spans="1:12" x14ac:dyDescent="0.2">
      <c r="A5" s="7">
        <v>1</v>
      </c>
      <c r="B5" s="7">
        <v>2</v>
      </c>
      <c r="C5" s="7">
        <v>3</v>
      </c>
      <c r="D5" s="7">
        <v>4</v>
      </c>
      <c r="E5" s="7"/>
      <c r="F5" s="7">
        <v>5</v>
      </c>
      <c r="G5" s="7">
        <v>6</v>
      </c>
      <c r="H5" s="7"/>
      <c r="I5" s="7">
        <v>7</v>
      </c>
      <c r="J5" s="7">
        <v>8</v>
      </c>
      <c r="K5" s="7">
        <v>9</v>
      </c>
      <c r="L5" s="7">
        <v>10</v>
      </c>
    </row>
    <row r="6" spans="1:12" x14ac:dyDescent="0.2">
      <c r="A6" s="8" t="s">
        <v>13</v>
      </c>
      <c r="B6" s="9"/>
      <c r="C6" s="10" t="s">
        <v>14</v>
      </c>
      <c r="D6" s="11">
        <f>E6+I6</f>
        <v>19726.599999999999</v>
      </c>
      <c r="E6" s="11">
        <f>F6+G6+H6</f>
        <v>19726.599999999999</v>
      </c>
      <c r="F6" s="12">
        <f>F8+F14+F28+F29+F31+F46</f>
        <v>36.1</v>
      </c>
      <c r="G6" s="12">
        <f>G8+G14+G28+G29+G31</f>
        <v>17469</v>
      </c>
      <c r="H6" s="12">
        <f>H8+H14+H28+H29+H31</f>
        <v>2221.5</v>
      </c>
      <c r="I6" s="12">
        <f>J6+K6+L6</f>
        <v>0</v>
      </c>
      <c r="J6" s="12">
        <f>SUM(J8+J14+J28+J29+J31)</f>
        <v>0</v>
      </c>
      <c r="K6" s="12">
        <f>SUM(K8+K14+K28+K29+K31)</f>
        <v>0</v>
      </c>
      <c r="L6" s="12">
        <f>SUM(L8+L14+L28+L29+L31)</f>
        <v>0</v>
      </c>
    </row>
    <row r="7" spans="1:12" x14ac:dyDescent="0.2">
      <c r="A7" s="13" t="s">
        <v>15</v>
      </c>
      <c r="B7" s="14"/>
      <c r="C7" s="15"/>
      <c r="D7" s="16"/>
      <c r="E7" s="16"/>
      <c r="F7" s="17"/>
      <c r="G7" s="17"/>
      <c r="H7" s="17"/>
      <c r="I7" s="17"/>
      <c r="J7" s="17"/>
      <c r="K7" s="17"/>
      <c r="L7" s="17"/>
    </row>
    <row r="8" spans="1:12" x14ac:dyDescent="0.2">
      <c r="A8" s="18" t="s">
        <v>16</v>
      </c>
      <c r="B8" s="11">
        <v>210</v>
      </c>
      <c r="C8" s="10" t="s">
        <v>17</v>
      </c>
      <c r="D8" s="11">
        <f>E8+I8</f>
        <v>16351.199999999999</v>
      </c>
      <c r="E8" s="11">
        <f>F8+G8+H8</f>
        <v>16351.199999999999</v>
      </c>
      <c r="F8" s="11">
        <f>F10+F11+F13</f>
        <v>36.1</v>
      </c>
      <c r="G8" s="11">
        <f>G10+G11+G13</f>
        <v>16315.099999999999</v>
      </c>
      <c r="H8" s="11">
        <f>H10+H11+H13</f>
        <v>0</v>
      </c>
      <c r="I8" s="11">
        <f>J8+K8+L8</f>
        <v>0</v>
      </c>
      <c r="J8" s="11">
        <f t="shared" ref="J8:L8" si="0">J10+J11+J13</f>
        <v>0</v>
      </c>
      <c r="K8" s="11">
        <f t="shared" si="0"/>
        <v>0</v>
      </c>
      <c r="L8" s="11">
        <f t="shared" si="0"/>
        <v>0</v>
      </c>
    </row>
    <row r="9" spans="1:12" x14ac:dyDescent="0.2">
      <c r="A9" s="13" t="s">
        <v>15</v>
      </c>
      <c r="B9" s="14"/>
      <c r="C9" s="15"/>
      <c r="D9" s="16"/>
      <c r="E9" s="16"/>
      <c r="F9" s="19"/>
      <c r="G9" s="17"/>
      <c r="H9" s="17"/>
      <c r="I9" s="17"/>
      <c r="J9" s="17"/>
      <c r="K9" s="17"/>
      <c r="L9" s="17"/>
    </row>
    <row r="10" spans="1:12" x14ac:dyDescent="0.2">
      <c r="A10" s="13" t="s">
        <v>18</v>
      </c>
      <c r="B10" s="14">
        <v>211</v>
      </c>
      <c r="C10" s="15" t="s">
        <v>19</v>
      </c>
      <c r="D10" s="16">
        <f>E10+I10</f>
        <v>12636</v>
      </c>
      <c r="E10" s="11">
        <f>F10+G10+H10</f>
        <v>12636</v>
      </c>
      <c r="F10" s="19">
        <v>27.7</v>
      </c>
      <c r="G10" s="17">
        <f>12498.5+109.8</f>
        <v>12608.3</v>
      </c>
      <c r="H10" s="17"/>
      <c r="I10" s="11">
        <f t="shared" ref="I10:I13" si="1">J10+K10+L10</f>
        <v>0</v>
      </c>
      <c r="J10" s="17"/>
      <c r="K10" s="17"/>
      <c r="L10" s="17"/>
    </row>
    <row r="11" spans="1:12" x14ac:dyDescent="0.2">
      <c r="A11" s="13" t="s">
        <v>20</v>
      </c>
      <c r="B11" s="14">
        <v>212</v>
      </c>
      <c r="C11" s="15" t="s">
        <v>21</v>
      </c>
      <c r="D11" s="16">
        <f>E11+I11</f>
        <v>0</v>
      </c>
      <c r="E11" s="11">
        <f>F11+G11+H11</f>
        <v>0</v>
      </c>
      <c r="F11" s="19"/>
      <c r="G11" s="17"/>
      <c r="H11" s="17"/>
      <c r="I11" s="11">
        <f t="shared" si="1"/>
        <v>0</v>
      </c>
      <c r="J11" s="17"/>
      <c r="K11" s="17"/>
      <c r="L11" s="17"/>
    </row>
    <row r="12" spans="1:12" ht="25.5" x14ac:dyDescent="0.2">
      <c r="A12" s="20" t="s">
        <v>22</v>
      </c>
      <c r="B12" s="14"/>
      <c r="C12" s="15" t="s">
        <v>23</v>
      </c>
      <c r="D12" s="16">
        <f t="shared" ref="D12:D13" si="2">E12+I12</f>
        <v>0</v>
      </c>
      <c r="E12" s="11">
        <f t="shared" ref="E12" si="3">F12+G12+H12</f>
        <v>0</v>
      </c>
      <c r="F12" s="19"/>
      <c r="G12" s="17"/>
      <c r="H12" s="17"/>
      <c r="I12" s="11">
        <f t="shared" si="1"/>
        <v>0</v>
      </c>
      <c r="J12" s="17"/>
      <c r="K12" s="17"/>
      <c r="L12" s="17"/>
    </row>
    <row r="13" spans="1:12" x14ac:dyDescent="0.2">
      <c r="A13" s="20" t="s">
        <v>24</v>
      </c>
      <c r="B13" s="21">
        <v>213</v>
      </c>
      <c r="C13" s="22" t="s">
        <v>25</v>
      </c>
      <c r="D13" s="16">
        <f t="shared" si="2"/>
        <v>3715.2</v>
      </c>
      <c r="E13" s="11">
        <f>F13+G13+H13</f>
        <v>3715.2</v>
      </c>
      <c r="F13" s="19">
        <v>8.4</v>
      </c>
      <c r="G13" s="17">
        <f>3673.7+33.1</f>
        <v>3706.7999999999997</v>
      </c>
      <c r="H13" s="17"/>
      <c r="I13" s="11">
        <f t="shared" si="1"/>
        <v>0</v>
      </c>
      <c r="J13" s="17"/>
      <c r="K13" s="17"/>
      <c r="L13" s="17"/>
    </row>
    <row r="14" spans="1:12" x14ac:dyDescent="0.2">
      <c r="A14" s="18" t="s">
        <v>26</v>
      </c>
      <c r="B14" s="11">
        <v>220</v>
      </c>
      <c r="C14" s="10" t="s">
        <v>27</v>
      </c>
      <c r="D14" s="11">
        <f>E14+I14</f>
        <v>2400.1</v>
      </c>
      <c r="E14" s="11">
        <f>F14+G14+H14</f>
        <v>2400.1</v>
      </c>
      <c r="F14" s="23">
        <f>F16+F18+F19+F20+F21+F25</f>
        <v>0</v>
      </c>
      <c r="G14" s="23">
        <f t="shared" ref="G14" si="4">G16+G18+G19+G20+G21+G25</f>
        <v>501.9</v>
      </c>
      <c r="H14" s="23">
        <f>H16+H18+H19+H20+H21+H25</f>
        <v>1898.2</v>
      </c>
      <c r="I14" s="23">
        <f t="shared" ref="I14:L14" si="5">I16+I18+I19+I20+I21+I25</f>
        <v>0</v>
      </c>
      <c r="J14" s="23">
        <f t="shared" si="5"/>
        <v>0</v>
      </c>
      <c r="K14" s="23">
        <f t="shared" si="5"/>
        <v>0</v>
      </c>
      <c r="L14" s="23">
        <f t="shared" si="5"/>
        <v>0</v>
      </c>
    </row>
    <row r="15" spans="1:12" x14ac:dyDescent="0.2">
      <c r="A15" s="20" t="s">
        <v>15</v>
      </c>
      <c r="B15" s="14"/>
      <c r="C15" s="15"/>
      <c r="D15" s="16"/>
      <c r="E15" s="16"/>
      <c r="F15" s="19"/>
      <c r="G15" s="17"/>
      <c r="H15" s="17"/>
      <c r="I15" s="17"/>
      <c r="J15" s="17"/>
      <c r="K15" s="17"/>
      <c r="L15" s="17"/>
    </row>
    <row r="16" spans="1:12" x14ac:dyDescent="0.2">
      <c r="A16" s="20" t="s">
        <v>28</v>
      </c>
      <c r="B16" s="14">
        <v>221</v>
      </c>
      <c r="C16" s="15" t="s">
        <v>29</v>
      </c>
      <c r="D16" s="16">
        <f t="shared" ref="D16:D27" si="6">E16+I16</f>
        <v>50.4</v>
      </c>
      <c r="E16" s="11">
        <f>F16+G16+H16</f>
        <v>50.4</v>
      </c>
      <c r="F16" s="19"/>
      <c r="G16" s="17">
        <v>17.5</v>
      </c>
      <c r="H16" s="17">
        <f>20.4+12.5</f>
        <v>32.9</v>
      </c>
      <c r="I16" s="11">
        <f t="shared" ref="I16:I27" si="7">J16+K16+L16</f>
        <v>0</v>
      </c>
      <c r="J16" s="17"/>
      <c r="K16" s="17"/>
      <c r="L16" s="17"/>
    </row>
    <row r="17" spans="1:12" ht="25.5" x14ac:dyDescent="0.2">
      <c r="A17" s="14" t="s">
        <v>30</v>
      </c>
      <c r="B17" s="14"/>
      <c r="C17" s="15" t="s">
        <v>31</v>
      </c>
      <c r="D17" s="16">
        <f t="shared" si="6"/>
        <v>0</v>
      </c>
      <c r="E17" s="11">
        <f>F17+G17+H17</f>
        <v>0</v>
      </c>
      <c r="F17" s="19"/>
      <c r="G17" s="17"/>
      <c r="H17" s="17"/>
      <c r="I17" s="11">
        <f t="shared" si="7"/>
        <v>0</v>
      </c>
      <c r="J17" s="17"/>
      <c r="K17" s="17"/>
      <c r="L17" s="17"/>
    </row>
    <row r="18" spans="1:12" x14ac:dyDescent="0.2">
      <c r="A18" s="20" t="s">
        <v>32</v>
      </c>
      <c r="B18" s="14">
        <v>222</v>
      </c>
      <c r="C18" s="15" t="s">
        <v>33</v>
      </c>
      <c r="D18" s="16">
        <f t="shared" si="6"/>
        <v>0</v>
      </c>
      <c r="E18" s="11">
        <f t="shared" ref="E18:E27" si="8">F18+G18+H18</f>
        <v>0</v>
      </c>
      <c r="F18" s="19"/>
      <c r="G18" s="17"/>
      <c r="H18" s="17"/>
      <c r="I18" s="11">
        <f t="shared" si="7"/>
        <v>0</v>
      </c>
      <c r="J18" s="17"/>
      <c r="K18" s="17"/>
      <c r="L18" s="17"/>
    </row>
    <row r="19" spans="1:12" x14ac:dyDescent="0.2">
      <c r="A19" s="20" t="s">
        <v>34</v>
      </c>
      <c r="B19" s="14">
        <v>223</v>
      </c>
      <c r="C19" s="15" t="s">
        <v>35</v>
      </c>
      <c r="D19" s="16">
        <f t="shared" si="6"/>
        <v>1297.4000000000001</v>
      </c>
      <c r="E19" s="11">
        <f t="shared" si="8"/>
        <v>1297.4000000000001</v>
      </c>
      <c r="F19" s="19"/>
      <c r="G19" s="17"/>
      <c r="H19" s="17">
        <f>1.6+306.4+989.4</f>
        <v>1297.4000000000001</v>
      </c>
      <c r="I19" s="11">
        <f t="shared" si="7"/>
        <v>0</v>
      </c>
      <c r="J19" s="17"/>
      <c r="K19" s="17"/>
      <c r="L19" s="17"/>
    </row>
    <row r="20" spans="1:12" x14ac:dyDescent="0.2">
      <c r="A20" s="20" t="s">
        <v>36</v>
      </c>
      <c r="B20" s="14">
        <v>224</v>
      </c>
      <c r="C20" s="15" t="s">
        <v>37</v>
      </c>
      <c r="D20" s="16">
        <f t="shared" si="6"/>
        <v>0</v>
      </c>
      <c r="E20" s="11">
        <f t="shared" si="8"/>
        <v>0</v>
      </c>
      <c r="F20" s="19"/>
      <c r="G20" s="17"/>
      <c r="H20" s="17"/>
      <c r="I20" s="11">
        <f t="shared" si="7"/>
        <v>0</v>
      </c>
      <c r="J20" s="17"/>
      <c r="K20" s="17"/>
      <c r="L20" s="17"/>
    </row>
    <row r="21" spans="1:12" x14ac:dyDescent="0.2">
      <c r="A21" s="20" t="s">
        <v>38</v>
      </c>
      <c r="B21" s="14">
        <v>225</v>
      </c>
      <c r="C21" s="15" t="s">
        <v>39</v>
      </c>
      <c r="D21" s="16">
        <f t="shared" si="6"/>
        <v>273.3</v>
      </c>
      <c r="E21" s="11">
        <f t="shared" si="8"/>
        <v>273.3</v>
      </c>
      <c r="F21" s="21">
        <f>F22+F23+F24</f>
        <v>0</v>
      </c>
      <c r="G21" s="21">
        <f>G22+G23+G24</f>
        <v>0</v>
      </c>
      <c r="H21" s="21">
        <f t="shared" ref="H21" si="9">H22+H23+H24</f>
        <v>273.3</v>
      </c>
      <c r="I21" s="11">
        <f>J21+K21+L21</f>
        <v>0</v>
      </c>
      <c r="J21" s="21"/>
      <c r="K21" s="21"/>
      <c r="L21" s="21"/>
    </row>
    <row r="22" spans="1:12" x14ac:dyDescent="0.2">
      <c r="A22" s="14" t="s">
        <v>40</v>
      </c>
      <c r="B22" s="14">
        <v>2251</v>
      </c>
      <c r="C22" s="15" t="s">
        <v>41</v>
      </c>
      <c r="D22" s="16">
        <f t="shared" si="6"/>
        <v>73.900000000000006</v>
      </c>
      <c r="E22" s="11">
        <f t="shared" si="8"/>
        <v>73.900000000000006</v>
      </c>
      <c r="F22" s="19"/>
      <c r="G22" s="17"/>
      <c r="H22" s="17">
        <v>73.900000000000006</v>
      </c>
      <c r="I22" s="11">
        <f t="shared" si="7"/>
        <v>0</v>
      </c>
      <c r="J22" s="17"/>
      <c r="K22" s="17"/>
      <c r="L22" s="17"/>
    </row>
    <row r="23" spans="1:12" x14ac:dyDescent="0.2">
      <c r="A23" s="14" t="s">
        <v>42</v>
      </c>
      <c r="B23" s="14">
        <v>2252</v>
      </c>
      <c r="C23" s="15" t="s">
        <v>43</v>
      </c>
      <c r="D23" s="16">
        <f t="shared" si="6"/>
        <v>199.4</v>
      </c>
      <c r="E23" s="11">
        <f t="shared" si="8"/>
        <v>199.4</v>
      </c>
      <c r="F23" s="19"/>
      <c r="G23" s="17"/>
      <c r="H23" s="17">
        <v>199.4</v>
      </c>
      <c r="I23" s="11">
        <f t="shared" si="7"/>
        <v>0</v>
      </c>
      <c r="J23" s="17"/>
      <c r="K23" s="17"/>
      <c r="L23" s="17"/>
    </row>
    <row r="24" spans="1:12" x14ac:dyDescent="0.2">
      <c r="A24" s="14" t="s">
        <v>44</v>
      </c>
      <c r="B24" s="14">
        <v>2254</v>
      </c>
      <c r="C24" s="24">
        <v>16</v>
      </c>
      <c r="D24" s="16">
        <f t="shared" si="6"/>
        <v>0</v>
      </c>
      <c r="E24" s="11">
        <f t="shared" si="8"/>
        <v>0</v>
      </c>
      <c r="F24" s="19"/>
      <c r="G24" s="17"/>
      <c r="H24" s="17"/>
      <c r="I24" s="11">
        <f t="shared" si="7"/>
        <v>0</v>
      </c>
      <c r="J24" s="17"/>
      <c r="K24" s="17"/>
      <c r="L24" s="17"/>
    </row>
    <row r="25" spans="1:12" x14ac:dyDescent="0.2">
      <c r="A25" s="20" t="s">
        <v>45</v>
      </c>
      <c r="B25" s="14">
        <v>226</v>
      </c>
      <c r="C25" s="24">
        <v>17</v>
      </c>
      <c r="D25" s="16">
        <f>E25+I25</f>
        <v>779</v>
      </c>
      <c r="E25" s="11">
        <f t="shared" si="8"/>
        <v>779</v>
      </c>
      <c r="F25" s="19"/>
      <c r="G25" s="17">
        <v>484.4</v>
      </c>
      <c r="H25" s="17">
        <f>264.7+29.9</f>
        <v>294.59999999999997</v>
      </c>
      <c r="I25" s="11">
        <f t="shared" si="7"/>
        <v>0</v>
      </c>
      <c r="J25" s="17"/>
      <c r="K25" s="16"/>
      <c r="L25" s="16"/>
    </row>
    <row r="26" spans="1:12" ht="51" x14ac:dyDescent="0.2">
      <c r="A26" s="14" t="s">
        <v>46</v>
      </c>
      <c r="B26" s="14"/>
      <c r="C26" s="24">
        <v>18</v>
      </c>
      <c r="D26" s="16">
        <f t="shared" si="6"/>
        <v>16.600000000000001</v>
      </c>
      <c r="E26" s="11">
        <f t="shared" si="8"/>
        <v>16.600000000000001</v>
      </c>
      <c r="F26" s="19"/>
      <c r="G26" s="17"/>
      <c r="H26" s="17">
        <v>16.600000000000001</v>
      </c>
      <c r="I26" s="11">
        <f t="shared" si="7"/>
        <v>0</v>
      </c>
      <c r="J26" s="17"/>
      <c r="K26" s="17"/>
      <c r="L26" s="17"/>
    </row>
    <row r="27" spans="1:12" ht="38.25" x14ac:dyDescent="0.2">
      <c r="A27" s="14" t="s">
        <v>47</v>
      </c>
      <c r="B27" s="14"/>
      <c r="C27" s="24">
        <v>19</v>
      </c>
      <c r="D27" s="16">
        <f t="shared" si="6"/>
        <v>36</v>
      </c>
      <c r="E27" s="11">
        <f t="shared" si="8"/>
        <v>36</v>
      </c>
      <c r="F27" s="19"/>
      <c r="G27" s="17"/>
      <c r="H27" s="17">
        <v>36</v>
      </c>
      <c r="I27" s="11">
        <f t="shared" si="7"/>
        <v>0</v>
      </c>
      <c r="J27" s="17"/>
      <c r="K27" s="17"/>
      <c r="L27" s="17"/>
    </row>
    <row r="28" spans="1:12" x14ac:dyDescent="0.2">
      <c r="A28" s="18" t="s">
        <v>48</v>
      </c>
      <c r="B28" s="11">
        <v>260</v>
      </c>
      <c r="C28" s="11">
        <v>20</v>
      </c>
      <c r="D28" s="11">
        <f>E28+I28</f>
        <v>73.400000000000006</v>
      </c>
      <c r="E28" s="35">
        <f>F28+G28+H28</f>
        <v>73.400000000000006</v>
      </c>
      <c r="F28" s="36"/>
      <c r="G28" s="37">
        <v>46.1</v>
      </c>
      <c r="H28" s="37">
        <v>27.3</v>
      </c>
      <c r="I28" s="11">
        <f>J28+K28+L28</f>
        <v>0</v>
      </c>
      <c r="J28" s="25"/>
      <c r="K28" s="25"/>
      <c r="L28" s="25"/>
    </row>
    <row r="29" spans="1:12" x14ac:dyDescent="0.2">
      <c r="A29" s="18" t="s">
        <v>49</v>
      </c>
      <c r="B29" s="11">
        <v>290</v>
      </c>
      <c r="C29" s="11">
        <v>21</v>
      </c>
      <c r="D29" s="11">
        <f>E29+I29</f>
        <v>177.1</v>
      </c>
      <c r="E29" s="35">
        <f>F29+G29+H29</f>
        <v>177.1</v>
      </c>
      <c r="F29" s="36"/>
      <c r="G29" s="37"/>
      <c r="H29" s="37">
        <v>177.1</v>
      </c>
      <c r="I29" s="11">
        <f>J29+K29+L29</f>
        <v>0</v>
      </c>
      <c r="J29" s="25"/>
      <c r="K29" s="25"/>
      <c r="L29" s="25"/>
    </row>
    <row r="30" spans="1:12" x14ac:dyDescent="0.2">
      <c r="A30" s="27" t="s">
        <v>50</v>
      </c>
      <c r="B30" s="24"/>
      <c r="C30" s="24">
        <v>22</v>
      </c>
      <c r="D30" s="24"/>
      <c r="E30" s="24"/>
      <c r="F30" s="28"/>
      <c r="G30" s="26"/>
      <c r="H30" s="26"/>
      <c r="I30" s="26"/>
      <c r="J30" s="26"/>
      <c r="K30" s="26"/>
      <c r="L30" s="26"/>
    </row>
    <row r="31" spans="1:12" x14ac:dyDescent="0.2">
      <c r="A31" s="18" t="s">
        <v>51</v>
      </c>
      <c r="B31" s="11">
        <v>300</v>
      </c>
      <c r="C31" s="11">
        <v>23</v>
      </c>
      <c r="D31" s="11">
        <f>E31+I31</f>
        <v>724.80000000000007</v>
      </c>
      <c r="E31" s="35">
        <f>F31+G31+H31</f>
        <v>724.80000000000007</v>
      </c>
      <c r="F31" s="11">
        <f>SUM(F33+F38+F39+F40)</f>
        <v>0</v>
      </c>
      <c r="G31" s="11">
        <f>G33+G38+G39+G40</f>
        <v>605.90000000000009</v>
      </c>
      <c r="H31" s="11">
        <f>SUM(H33+H38+H39+H40)</f>
        <v>118.89999999999999</v>
      </c>
      <c r="I31" s="11">
        <f>J31+K31+L31</f>
        <v>0</v>
      </c>
      <c r="J31" s="11">
        <f>J33+J38+J40</f>
        <v>0</v>
      </c>
      <c r="K31" s="11">
        <f>K33+K38+K40</f>
        <v>0</v>
      </c>
      <c r="L31" s="11">
        <f>L33+L38+L40</f>
        <v>0</v>
      </c>
    </row>
    <row r="32" spans="1:12" x14ac:dyDescent="0.2">
      <c r="A32" s="20" t="s">
        <v>15</v>
      </c>
      <c r="B32" s="14"/>
      <c r="D32" s="16"/>
      <c r="E32" s="16"/>
      <c r="F32" s="17"/>
      <c r="G32" s="17"/>
      <c r="H32" s="17"/>
      <c r="I32" s="17"/>
      <c r="J32" s="17"/>
      <c r="K32" s="17"/>
      <c r="L32" s="17"/>
    </row>
    <row r="33" spans="1:12" x14ac:dyDescent="0.2">
      <c r="A33" s="20" t="s">
        <v>52</v>
      </c>
      <c r="B33" s="16">
        <v>310</v>
      </c>
      <c r="C33" s="24">
        <v>24</v>
      </c>
      <c r="D33" s="16">
        <f>E33+I33</f>
        <v>722.2</v>
      </c>
      <c r="E33" s="11">
        <f>F33+G33+H33</f>
        <v>722.2</v>
      </c>
      <c r="F33" s="16">
        <f>SUM(F34:F37)</f>
        <v>0</v>
      </c>
      <c r="G33" s="16">
        <f>SUM(G34:G37)</f>
        <v>605.90000000000009</v>
      </c>
      <c r="H33" s="16">
        <f>SUM(H34:H37)</f>
        <v>116.3</v>
      </c>
      <c r="I33" s="11">
        <f>J33+K33+L33</f>
        <v>0</v>
      </c>
      <c r="J33" s="16">
        <f>J34+J35+J36</f>
        <v>0</v>
      </c>
      <c r="K33" s="16">
        <f>K34+K35+K36</f>
        <v>0</v>
      </c>
      <c r="L33" s="16">
        <f>L34+L35+L36</f>
        <v>0</v>
      </c>
    </row>
    <row r="34" spans="1:12" x14ac:dyDescent="0.2">
      <c r="A34" t="s">
        <v>53</v>
      </c>
      <c r="B34" s="14"/>
      <c r="C34" s="24">
        <v>25</v>
      </c>
      <c r="D34" s="16">
        <f t="shared" ref="D34:D46" si="10">E34+I34</f>
        <v>0</v>
      </c>
      <c r="E34" s="11">
        <f t="shared" ref="E34:E46" si="11">F34+G34+H34</f>
        <v>0</v>
      </c>
      <c r="F34" s="17"/>
      <c r="G34" s="17"/>
      <c r="H34" s="17"/>
      <c r="I34" s="11">
        <f t="shared" ref="I34:I46" si="12">J34+K34+L34</f>
        <v>0</v>
      </c>
      <c r="J34" s="17"/>
      <c r="K34" s="17"/>
      <c r="L34" s="17"/>
    </row>
    <row r="35" spans="1:12" ht="25.5" x14ac:dyDescent="0.2">
      <c r="A35" s="30" t="s">
        <v>54</v>
      </c>
      <c r="B35" s="14">
        <v>3101</v>
      </c>
      <c r="C35" s="24">
        <v>26</v>
      </c>
      <c r="D35" s="16">
        <f t="shared" si="10"/>
        <v>263.10000000000002</v>
      </c>
      <c r="E35" s="11">
        <f t="shared" si="11"/>
        <v>263.10000000000002</v>
      </c>
      <c r="F35" s="17"/>
      <c r="G35" s="17">
        <v>146.80000000000001</v>
      </c>
      <c r="H35" s="17">
        <v>116.3</v>
      </c>
      <c r="I35" s="11">
        <f t="shared" si="12"/>
        <v>0</v>
      </c>
      <c r="J35" s="17"/>
      <c r="K35" s="17"/>
      <c r="L35" s="17"/>
    </row>
    <row r="36" spans="1:12" ht="25.5" x14ac:dyDescent="0.2">
      <c r="A36" s="30" t="s">
        <v>55</v>
      </c>
      <c r="B36" s="14">
        <v>3102</v>
      </c>
      <c r="C36" s="24">
        <v>27</v>
      </c>
      <c r="D36" s="16">
        <f t="shared" si="10"/>
        <v>0</v>
      </c>
      <c r="E36" s="11">
        <f t="shared" si="11"/>
        <v>0</v>
      </c>
      <c r="F36" s="17"/>
      <c r="G36" s="17"/>
      <c r="H36" s="17"/>
      <c r="I36" s="11">
        <f t="shared" si="12"/>
        <v>0</v>
      </c>
      <c r="J36" s="17"/>
      <c r="K36" s="17"/>
      <c r="L36" s="17"/>
    </row>
    <row r="37" spans="1:12" x14ac:dyDescent="0.2">
      <c r="A37" s="30" t="s">
        <v>56</v>
      </c>
      <c r="B37" s="14"/>
      <c r="C37" s="24">
        <v>28</v>
      </c>
      <c r="D37" s="16">
        <f t="shared" si="10"/>
        <v>459.1</v>
      </c>
      <c r="E37" s="11">
        <f t="shared" si="11"/>
        <v>459.1</v>
      </c>
      <c r="F37" s="17"/>
      <c r="G37" s="17">
        <v>459.1</v>
      </c>
      <c r="H37" s="17"/>
      <c r="I37" s="11">
        <f t="shared" si="12"/>
        <v>0</v>
      </c>
      <c r="J37" s="17"/>
      <c r="K37" s="17"/>
      <c r="L37" s="17"/>
    </row>
    <row r="38" spans="1:12" x14ac:dyDescent="0.2">
      <c r="A38" s="31" t="s">
        <v>57</v>
      </c>
      <c r="B38" s="19">
        <v>320</v>
      </c>
      <c r="C38" s="24">
        <v>29</v>
      </c>
      <c r="D38" s="16">
        <f t="shared" si="10"/>
        <v>0</v>
      </c>
      <c r="E38" s="11">
        <f t="shared" si="11"/>
        <v>0</v>
      </c>
      <c r="F38" s="19"/>
      <c r="G38" s="17"/>
      <c r="H38" s="17"/>
      <c r="I38" s="11">
        <f t="shared" si="12"/>
        <v>0</v>
      </c>
      <c r="J38" s="17"/>
      <c r="K38" s="17"/>
      <c r="L38" s="17"/>
    </row>
    <row r="39" spans="1:12" x14ac:dyDescent="0.2">
      <c r="A39" s="31" t="s">
        <v>58</v>
      </c>
      <c r="B39" s="19">
        <v>330</v>
      </c>
      <c r="C39" s="28">
        <v>30</v>
      </c>
      <c r="D39" s="16">
        <f t="shared" si="10"/>
        <v>0</v>
      </c>
      <c r="E39" s="11">
        <f t="shared" si="11"/>
        <v>0</v>
      </c>
      <c r="F39" s="17"/>
      <c r="G39" s="17"/>
      <c r="H39" s="17"/>
      <c r="I39" s="11">
        <f t="shared" si="12"/>
        <v>0</v>
      </c>
      <c r="J39" s="17"/>
      <c r="K39" s="17"/>
      <c r="L39" s="17"/>
    </row>
    <row r="40" spans="1:12" ht="25.5" x14ac:dyDescent="0.2">
      <c r="A40" s="31" t="s">
        <v>59</v>
      </c>
      <c r="B40" s="19">
        <v>340</v>
      </c>
      <c r="C40" s="28">
        <v>31</v>
      </c>
      <c r="D40" s="16">
        <f>E40+I40</f>
        <v>2.6</v>
      </c>
      <c r="E40" s="11">
        <f>F40+G40+H40</f>
        <v>2.6</v>
      </c>
      <c r="F40" s="17">
        <f>SUM(F41:F45)</f>
        <v>0</v>
      </c>
      <c r="G40" s="17">
        <f>SUM(G41:G46)</f>
        <v>0</v>
      </c>
      <c r="H40" s="17">
        <f>SUM(H41:H46)</f>
        <v>2.6</v>
      </c>
      <c r="I40" s="11">
        <f t="shared" si="12"/>
        <v>0</v>
      </c>
      <c r="J40" s="17">
        <f>SUM(J41:J46)</f>
        <v>0</v>
      </c>
      <c r="K40" s="17">
        <f>SUM(K41:K46)</f>
        <v>0</v>
      </c>
      <c r="L40" s="17">
        <f>SUM(L41:L46)</f>
        <v>0</v>
      </c>
    </row>
    <row r="41" spans="1:12" x14ac:dyDescent="0.2">
      <c r="A41" s="14" t="s">
        <v>60</v>
      </c>
      <c r="B41" s="19">
        <v>3401</v>
      </c>
      <c r="C41" s="28">
        <v>32</v>
      </c>
      <c r="D41" s="16">
        <f t="shared" si="10"/>
        <v>0</v>
      </c>
      <c r="E41" s="11">
        <f t="shared" si="11"/>
        <v>0</v>
      </c>
      <c r="F41" s="17"/>
      <c r="G41" s="17"/>
      <c r="H41" s="17"/>
      <c r="I41" s="11">
        <f t="shared" si="12"/>
        <v>0</v>
      </c>
      <c r="J41" s="17"/>
      <c r="K41" s="17"/>
      <c r="L41" s="17"/>
    </row>
    <row r="42" spans="1:12" x14ac:dyDescent="0.2">
      <c r="A42" s="21" t="s">
        <v>61</v>
      </c>
      <c r="B42" s="19">
        <v>3405</v>
      </c>
      <c r="C42" s="28">
        <v>33</v>
      </c>
      <c r="D42" s="16">
        <f t="shared" si="10"/>
        <v>0</v>
      </c>
      <c r="E42" s="11">
        <f t="shared" si="11"/>
        <v>0</v>
      </c>
      <c r="F42" s="17"/>
      <c r="G42" s="17"/>
      <c r="H42" s="17"/>
      <c r="I42" s="11">
        <f t="shared" si="12"/>
        <v>0</v>
      </c>
      <c r="J42" s="17"/>
      <c r="K42" s="17"/>
      <c r="L42" s="17"/>
    </row>
    <row r="43" spans="1:12" x14ac:dyDescent="0.2">
      <c r="A43" s="14" t="s">
        <v>62</v>
      </c>
      <c r="B43" s="19">
        <v>3402</v>
      </c>
      <c r="C43" s="28">
        <v>34</v>
      </c>
      <c r="D43" s="16">
        <f t="shared" si="10"/>
        <v>0</v>
      </c>
      <c r="E43" s="11">
        <f t="shared" si="11"/>
        <v>0</v>
      </c>
      <c r="F43" s="17"/>
      <c r="G43" s="17"/>
      <c r="H43" s="17"/>
      <c r="I43" s="11">
        <f t="shared" si="12"/>
        <v>0</v>
      </c>
      <c r="J43" s="17"/>
      <c r="K43" s="17"/>
      <c r="L43" s="17"/>
    </row>
    <row r="44" spans="1:12" x14ac:dyDescent="0.2">
      <c r="A44" s="14" t="s">
        <v>63</v>
      </c>
      <c r="B44" s="19">
        <v>3404</v>
      </c>
      <c r="C44" s="28">
        <v>35</v>
      </c>
      <c r="D44" s="16">
        <f>E44+I44</f>
        <v>2.6</v>
      </c>
      <c r="E44" s="11">
        <f t="shared" si="11"/>
        <v>2.6</v>
      </c>
      <c r="F44" s="17"/>
      <c r="G44" s="17"/>
      <c r="H44" s="17">
        <v>2.6</v>
      </c>
      <c r="I44" s="11">
        <f t="shared" si="12"/>
        <v>0</v>
      </c>
      <c r="J44" s="17"/>
      <c r="K44" s="17"/>
      <c r="L44" s="17"/>
    </row>
    <row r="45" spans="1:12" x14ac:dyDescent="0.2">
      <c r="A45" s="14" t="s">
        <v>86</v>
      </c>
      <c r="B45" s="19"/>
      <c r="C45" s="28"/>
      <c r="D45" s="16">
        <f>E45+I45</f>
        <v>0</v>
      </c>
      <c r="E45" s="11">
        <f t="shared" si="11"/>
        <v>0</v>
      </c>
      <c r="F45" s="17"/>
      <c r="G45" s="17"/>
      <c r="H45" s="17"/>
      <c r="I45" s="11">
        <f t="shared" si="12"/>
        <v>0</v>
      </c>
      <c r="J45" s="17"/>
      <c r="K45" s="17"/>
      <c r="L45" s="17"/>
    </row>
    <row r="46" spans="1:12" x14ac:dyDescent="0.2">
      <c r="A46" s="14" t="s">
        <v>64</v>
      </c>
      <c r="B46" s="19"/>
      <c r="C46" s="28">
        <v>36</v>
      </c>
      <c r="D46" s="16">
        <f t="shared" si="10"/>
        <v>0</v>
      </c>
      <c r="E46" s="11">
        <f t="shared" si="11"/>
        <v>0</v>
      </c>
      <c r="F46" s="17"/>
      <c r="G46" s="17"/>
      <c r="H46" s="17"/>
      <c r="I46" s="11">
        <f t="shared" si="12"/>
        <v>0</v>
      </c>
      <c r="J46" s="17"/>
      <c r="K46" s="17"/>
      <c r="L46" s="17"/>
    </row>
    <row r="47" spans="1:12" ht="25.5" x14ac:dyDescent="0.2">
      <c r="A47" s="25" t="s">
        <v>65</v>
      </c>
      <c r="B47" s="23" t="s">
        <v>66</v>
      </c>
      <c r="C47" s="23">
        <v>37</v>
      </c>
      <c r="D47" s="11"/>
      <c r="E47" s="11"/>
      <c r="F47" s="25"/>
      <c r="G47" s="25"/>
      <c r="H47" s="25"/>
      <c r="I47" s="25"/>
      <c r="J47" s="25"/>
      <c r="K47" s="25"/>
      <c r="L47" s="25"/>
    </row>
    <row r="48" spans="1:12" x14ac:dyDescent="0.2">
      <c r="A48" s="32"/>
      <c r="B48" s="33"/>
      <c r="C48" s="33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2">
      <c r="A49" s="32"/>
      <c r="B49" s="33"/>
      <c r="C49" s="33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">
      <c r="A50" s="32"/>
      <c r="B50" s="33"/>
      <c r="C50" s="33"/>
      <c r="D50" s="32"/>
      <c r="E50" s="32"/>
      <c r="F50" s="32"/>
      <c r="G50" s="32"/>
      <c r="H50" s="32"/>
      <c r="I50" s="32"/>
      <c r="J50" s="32"/>
      <c r="K50" s="32"/>
      <c r="L50" s="32"/>
    </row>
    <row r="51" spans="1:12" x14ac:dyDescent="0.2">
      <c r="A51" s="32"/>
      <c r="B51" s="33"/>
      <c r="C51" s="33"/>
      <c r="D51" s="32"/>
      <c r="E51" s="32"/>
      <c r="F51" s="32"/>
      <c r="G51" s="32"/>
      <c r="H51" s="32"/>
      <c r="I51" s="32"/>
      <c r="J51" s="32"/>
      <c r="K51" s="32"/>
      <c r="L51" s="32"/>
    </row>
    <row r="52" spans="1:12" x14ac:dyDescent="0.2">
      <c r="A52" s="32"/>
      <c r="B52" s="33"/>
      <c r="C52" s="33"/>
      <c r="D52" s="32"/>
      <c r="E52" s="32"/>
      <c r="F52" s="32"/>
      <c r="G52" s="32"/>
      <c r="H52" s="32"/>
      <c r="I52" s="32"/>
      <c r="J52" s="32"/>
      <c r="K52" s="32"/>
      <c r="L52" s="32"/>
    </row>
    <row r="53" spans="1:12" x14ac:dyDescent="0.2">
      <c r="A53" s="32"/>
      <c r="B53" s="33"/>
      <c r="C53" s="33"/>
      <c r="D53" s="32"/>
      <c r="E53" s="32"/>
      <c r="F53" s="32"/>
      <c r="G53" s="32"/>
      <c r="H53" s="32"/>
      <c r="I53" s="32"/>
      <c r="J53" s="32"/>
      <c r="K53" s="32"/>
      <c r="L53" s="32"/>
    </row>
    <row r="54" spans="1:12" x14ac:dyDescent="0.2">
      <c r="A54" s="32"/>
      <c r="B54" s="33"/>
      <c r="C54" s="33"/>
      <c r="D54" s="32"/>
      <c r="E54" s="32"/>
      <c r="F54" s="32"/>
      <c r="G54" s="32"/>
      <c r="H54" s="32"/>
      <c r="I54" s="32"/>
      <c r="J54" s="32"/>
      <c r="K54" s="32"/>
      <c r="L54" s="32"/>
    </row>
    <row r="55" spans="1:12" x14ac:dyDescent="0.2">
      <c r="A55" s="32"/>
      <c r="B55" s="33"/>
      <c r="C55" s="33"/>
      <c r="D55" s="32"/>
      <c r="E55" s="32"/>
      <c r="F55" s="32"/>
      <c r="G55" s="32"/>
      <c r="H55" s="32"/>
      <c r="I55" s="32"/>
      <c r="J55" s="32"/>
      <c r="K55" s="32"/>
      <c r="L55" s="32"/>
    </row>
    <row r="56" spans="1:12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2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2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2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2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2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2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2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2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2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2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2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2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2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2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2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2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2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2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2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2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2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2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2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2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2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2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2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2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2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2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2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2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2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2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2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2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2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2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</sheetData>
  <mergeCells count="6">
    <mergeCell ref="E3:H3"/>
    <mergeCell ref="I3:L3"/>
    <mergeCell ref="A3:A4"/>
    <mergeCell ref="B3:B4"/>
    <mergeCell ref="C3:C4"/>
    <mergeCell ref="D3:D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1</vt:i4>
      </vt:variant>
    </vt:vector>
  </HeadingPairs>
  <TitlesOfParts>
    <vt:vector size="25" baseType="lpstr">
      <vt:lpstr>Авсюнин средн</vt:lpstr>
      <vt:lpstr>Верейская</vt:lpstr>
      <vt:lpstr>Давыд. гимн</vt:lpstr>
      <vt:lpstr>Давыд. лицей</vt:lpstr>
      <vt:lpstr>Демиховская</vt:lpstr>
      <vt:lpstr>Запутновская</vt:lpstr>
      <vt:lpstr>Ильинская</vt:lpstr>
      <vt:lpstr>Кабановская</vt:lpstr>
      <vt:lpstr>Малодубенская</vt:lpstr>
      <vt:lpstr>Новинская</vt:lpstr>
      <vt:lpstr>Соболевская</vt:lpstr>
      <vt:lpstr>Щетиновская</vt:lpstr>
      <vt:lpstr>л-д №2</vt:lpstr>
      <vt:lpstr>л-д №3</vt:lpstr>
      <vt:lpstr>л-д №4</vt:lpstr>
      <vt:lpstr>ППРиК</vt:lpstr>
      <vt:lpstr>Дрезн №1</vt:lpstr>
      <vt:lpstr>Дрезн гимназ</vt:lpstr>
      <vt:lpstr>Куровская №2</vt:lpstr>
      <vt:lpstr>Куровская гимназ</vt:lpstr>
      <vt:lpstr>Л-Д  гимназ</vt:lpstr>
      <vt:lpstr>Л-Д лицей</vt:lpstr>
      <vt:lpstr>Л-Д №5</vt:lpstr>
      <vt:lpstr>таблица</vt:lpstr>
      <vt:lpstr>'Дрезн №1'!Область_печати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65</cp:lastModifiedBy>
  <cp:lastPrinted>2012-03-12T11:16:07Z</cp:lastPrinted>
  <dcterms:created xsi:type="dcterms:W3CDTF">1996-10-08T23:32:33Z</dcterms:created>
  <dcterms:modified xsi:type="dcterms:W3CDTF">2015-04-15T07:29:52Z</dcterms:modified>
</cp:coreProperties>
</file>