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4 год" sheetId="1" r:id="rId1"/>
  </sheets>
  <definedNames>
    <definedName name="_xlnm.Print_Titles" localSheetId="0">'2014 год'!$A:$B,'2014 год'!$4:$4</definedName>
    <definedName name="_xlnm.Print_Area" localSheetId="0">'2014 год'!$A$1:$Q$63</definedName>
  </definedNames>
  <calcPr fullCalcOnLoad="1"/>
</workbook>
</file>

<file path=xl/sharedStrings.xml><?xml version="1.0" encoding="utf-8"?>
<sst xmlns="http://schemas.openxmlformats.org/spreadsheetml/2006/main" count="76" uniqueCount="75">
  <si>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</si>
  <si>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</si>
  <si>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</si>
  <si>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</si>
  <si>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</si>
  <si>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</si>
  <si>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</si>
  <si>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</si>
  <si>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</si>
  <si>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</si>
  <si>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</si>
  <si>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</si>
  <si>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</si>
  <si>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</si>
  <si>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</si>
  <si>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</si>
  <si>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</si>
  <si>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</si>
  <si>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</si>
  <si>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</si>
  <si>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</si>
  <si>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</si>
  <si>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</si>
  <si>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</si>
  <si>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</si>
  <si>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</si>
  <si>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</si>
  <si>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</si>
  <si>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</si>
  <si>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</si>
  <si>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</si>
  <si>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</si>
  <si>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</si>
  <si>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</si>
  <si>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</si>
  <si>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</si>
  <si>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</si>
  <si>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</si>
  <si>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</si>
  <si>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</si>
  <si>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</si>
  <si>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</si>
  <si>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</si>
  <si>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</si>
  <si>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</si>
  <si>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</si>
  <si>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</si>
  <si>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</si>
  <si>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</si>
  <si>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</si>
  <si>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</si>
  <si>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</si>
  <si>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</si>
  <si>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</si>
  <si>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</si>
  <si>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</si>
  <si>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</si>
  <si>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</si>
  <si>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</si>
  <si>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</si>
  <si>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</si>
  <si>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</si>
  <si>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Примечание:</t>
  </si>
  <si>
    <t xml:space="preserve">информация по должности (заведующий библиотекой) отражена в графах № 17, № 18) </t>
  </si>
  <si>
    <t>по недостающей информации обращаться к бухгалтеру-расчетчику</t>
  </si>
  <si>
    <t>Общая численность учителей (без совместителей)</t>
  </si>
  <si>
    <t>Исполнитель: Киркиж Л.И. ( 8 496 161-830)</t>
  </si>
  <si>
    <t>х</t>
  </si>
  <si>
    <t>средняя зараб.плата  учителя</t>
  </si>
  <si>
    <t>средняя зараб.плата пед. Работников</t>
  </si>
  <si>
    <t>средняя зараб.плата по учреждению</t>
  </si>
  <si>
    <t xml:space="preserve"> Орехово-Зуевский район 
информация для заполнения мониторинга за сентябрь 2014 года   (в тыс.руб)
(Информация дана без дошкольных отделений, без совместителей)</t>
  </si>
  <si>
    <t>средняя по всем учреждениям</t>
  </si>
  <si>
    <t>Дата: 08.10.2014</t>
  </si>
  <si>
    <t>средняя зараб.плата руководилей и заместит.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</si>
</sst>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1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1" fontId="41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 vertical="center" wrapText="1"/>
    </xf>
    <xf numFmtId="164" fontId="42" fillId="0" borderId="19" xfId="0" applyNumberFormat="1" applyFont="1" applyFill="1" applyBorder="1" applyAlignment="1">
      <alignment horizontal="right"/>
    </xf>
    <xf numFmtId="1" fontId="42" fillId="0" borderId="20" xfId="0" applyNumberFormat="1" applyFont="1" applyFill="1" applyBorder="1" applyAlignment="1">
      <alignment horizontal="right"/>
    </xf>
    <xf numFmtId="164" fontId="42" fillId="0" borderId="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164" fontId="42" fillId="0" borderId="12" xfId="0" applyNumberFormat="1" applyFont="1" applyFill="1" applyBorder="1" applyAlignment="1">
      <alignment/>
    </xf>
    <xf numFmtId="1" fontId="42" fillId="0" borderId="21" xfId="0" applyNumberFormat="1" applyFont="1" applyFill="1" applyBorder="1" applyAlignment="1">
      <alignment horizontal="right"/>
    </xf>
    <xf numFmtId="164" fontId="42" fillId="0" borderId="22" xfId="0" applyNumberFormat="1" applyFont="1" applyFill="1" applyBorder="1" applyAlignment="1">
      <alignment/>
    </xf>
    <xf numFmtId="1" fontId="42" fillId="0" borderId="12" xfId="0" applyNumberFormat="1" applyFont="1" applyFill="1" applyBorder="1" applyAlignment="1">
      <alignment/>
    </xf>
    <xf numFmtId="1" fontId="42" fillId="0" borderId="23" xfId="0" applyNumberFormat="1" applyFont="1" applyFill="1" applyBorder="1" applyAlignment="1">
      <alignment horizontal="right"/>
    </xf>
    <xf numFmtId="164" fontId="42" fillId="0" borderId="24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1" fontId="42" fillId="0" borderId="25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42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2" fillId="16" borderId="10" xfId="0" applyNumberFormat="1" applyFont="1" applyFill="1" applyBorder="1" applyAlignment="1">
      <alignment horizontal="center" wrapText="1"/>
    </xf>
    <xf numFmtId="1" fontId="2" fillId="16" borderId="10" xfId="0" applyNumberFormat="1" applyFont="1" applyFill="1" applyBorder="1" applyAlignment="1">
      <alignment horizontal="center" wrapText="1"/>
    </xf>
    <xf numFmtId="1" fontId="2" fillId="16" borderId="30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42" fillId="0" borderId="13" xfId="0" applyNumberFormat="1" applyFont="1" applyFill="1" applyBorder="1" applyAlignment="1">
      <alignment/>
    </xf>
    <xf numFmtId="164" fontId="4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42" fillId="13" borderId="10" xfId="0" applyNumberFormat="1" applyFont="1" applyFill="1" applyBorder="1" applyAlignment="1">
      <alignment horizontal="center" vertical="center" wrapText="1"/>
    </xf>
    <xf numFmtId="164" fontId="42" fillId="0" borderId="23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/>
    </xf>
    <xf numFmtId="164" fontId="41" fillId="0" borderId="0" xfId="0" applyNumberFormat="1" applyFont="1" applyBorder="1" applyAlignment="1">
      <alignment/>
    </xf>
    <xf numFmtId="164" fontId="2" fillId="16" borderId="35" xfId="0" applyNumberFormat="1" applyFont="1" applyFill="1" applyBorder="1" applyAlignment="1">
      <alignment horizontal="center" wrapText="1"/>
    </xf>
    <xf numFmtId="164" fontId="42" fillId="0" borderId="33" xfId="0" applyNumberFormat="1" applyFont="1" applyFill="1" applyBorder="1" applyAlignment="1">
      <alignment horizontal="center"/>
    </xf>
    <xf numFmtId="164" fontId="42" fillId="0" borderId="32" xfId="0" applyNumberFormat="1" applyFont="1" applyFill="1" applyBorder="1" applyAlignment="1">
      <alignment horizontal="right"/>
    </xf>
    <xf numFmtId="164" fontId="2" fillId="16" borderId="36" xfId="0" applyNumberFormat="1" applyFont="1" applyFill="1" applyBorder="1" applyAlignment="1">
      <alignment horizontal="center" wrapText="1"/>
    </xf>
    <xf numFmtId="164" fontId="2" fillId="16" borderId="37" xfId="0" applyNumberFormat="1" applyFont="1" applyFill="1" applyBorder="1" applyAlignment="1">
      <alignment horizontal="center" wrapText="1"/>
    </xf>
    <xf numFmtId="164" fontId="42" fillId="13" borderId="3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/>
    </xf>
    <xf numFmtId="0" fontId="42" fillId="13" borderId="0" xfId="0" applyFont="1" applyFill="1" applyBorder="1" applyAlignment="1">
      <alignment/>
    </xf>
    <xf numFmtId="164" fontId="42" fillId="13" borderId="0" xfId="0" applyNumberFormat="1" applyFont="1" applyFill="1" applyBorder="1" applyAlignment="1">
      <alignment/>
    </xf>
    <xf numFmtId="1" fontId="3" fillId="13" borderId="0" xfId="0" applyNumberFormat="1" applyFont="1" applyFill="1" applyBorder="1" applyAlignment="1">
      <alignment/>
    </xf>
    <xf numFmtId="164" fontId="3" fillId="13" borderId="0" xfId="0" applyNumberFormat="1" applyFont="1" applyFill="1" applyBorder="1" applyAlignment="1">
      <alignment/>
    </xf>
    <xf numFmtId="164" fontId="42" fillId="13" borderId="0" xfId="0" applyNumberFormat="1" applyFont="1" applyFill="1" applyBorder="1" applyAlignment="1">
      <alignment/>
    </xf>
    <xf numFmtId="1" fontId="42" fillId="13" borderId="0" xfId="0" applyNumberFormat="1" applyFont="1" applyFill="1" applyBorder="1" applyAlignment="1">
      <alignment/>
    </xf>
    <xf numFmtId="164" fontId="43" fillId="13" borderId="31" xfId="0" applyNumberFormat="1" applyFont="1" applyFill="1" applyBorder="1" applyAlignment="1">
      <alignment/>
    </xf>
    <xf numFmtId="164" fontId="43" fillId="13" borderId="11" xfId="0" applyNumberFormat="1" applyFont="1" applyFill="1" applyBorder="1" applyAlignment="1">
      <alignment/>
    </xf>
    <xf numFmtId="164" fontId="43" fillId="13" borderId="34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42" fillId="1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4"/>
  <sheetViews>
    <sheetView tabSelected="1" view="pageBreakPreview" zoomScale="57" zoomScaleNormal="82" zoomScaleSheetLayoutView="57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8" sqref="N58"/>
    </sheetView>
  </sheetViews>
  <sheetFormatPr defaultColWidth="16.140625" defaultRowHeight="15"/>
  <cols>
    <col min="1" max="1" width="7.00390625" style="19" customWidth="1"/>
    <col min="2" max="2" width="38.140625" style="26" customWidth="1"/>
    <col min="3" max="3" width="16.140625" style="35" customWidth="1"/>
    <col min="4" max="4" width="13.8515625" style="20" customWidth="1"/>
    <col min="5" max="5" width="18.57421875" style="21" customWidth="1"/>
    <col min="6" max="6" width="14.421875" style="20" customWidth="1"/>
    <col min="7" max="7" width="15.8515625" style="31" customWidth="1"/>
    <col min="8" max="8" width="14.8515625" style="30" customWidth="1"/>
    <col min="9" max="9" width="15.28125" style="31" customWidth="1"/>
    <col min="10" max="10" width="13.421875" style="30" customWidth="1"/>
    <col min="11" max="11" width="15.7109375" style="31" customWidth="1"/>
    <col min="12" max="12" width="13.421875" style="30" customWidth="1"/>
    <col min="13" max="13" width="17.28125" style="31" customWidth="1"/>
    <col min="14" max="14" width="13.421875" style="35" customWidth="1"/>
    <col min="15" max="15" width="14.421875" style="35" customWidth="1"/>
    <col min="16" max="16" width="13.57421875" style="35" customWidth="1"/>
    <col min="17" max="17" width="15.57421875" style="35" customWidth="1"/>
    <col min="18" max="18" width="9.140625" style="26" customWidth="1"/>
    <col min="19" max="245" width="9.140625" style="27" customWidth="1"/>
    <col min="246" max="246" width="3.57421875" style="27" customWidth="1"/>
    <col min="247" max="247" width="29.140625" style="27" customWidth="1"/>
    <col min="248" max="248" width="14.00390625" style="27" customWidth="1"/>
    <col min="249" max="16384" width="16.140625" style="27" customWidth="1"/>
  </cols>
  <sheetData>
    <row r="1" spans="1:16" ht="58.5" customHeight="1">
      <c r="A1" s="1"/>
      <c r="B1" s="1"/>
      <c r="C1" s="107" t="s">
        <v>71</v>
      </c>
      <c r="D1" s="107"/>
      <c r="E1" s="107"/>
      <c r="F1" s="107"/>
      <c r="G1" s="107"/>
      <c r="H1" s="107"/>
      <c r="I1" s="107"/>
      <c r="J1" s="107"/>
      <c r="K1" s="107"/>
      <c r="L1" s="107"/>
      <c r="M1" s="61"/>
      <c r="N1" s="61"/>
      <c r="O1" s="61"/>
      <c r="P1" s="61"/>
    </row>
    <row r="2" spans="1:9" ht="21.75" customHeight="1">
      <c r="A2" s="2"/>
      <c r="B2" s="3" t="s">
        <v>62</v>
      </c>
      <c r="C2" s="5" t="s">
        <v>63</v>
      </c>
      <c r="D2" s="4"/>
      <c r="E2" s="5"/>
      <c r="F2" s="4"/>
      <c r="G2" s="78"/>
      <c r="H2" s="29"/>
      <c r="I2" s="78"/>
    </row>
    <row r="3" spans="1:9" ht="21.75" customHeight="1" thickBot="1">
      <c r="A3" s="2"/>
      <c r="B3" s="3"/>
      <c r="C3" s="5" t="s">
        <v>64</v>
      </c>
      <c r="D3" s="4"/>
      <c r="E3" s="5"/>
      <c r="F3" s="4"/>
      <c r="G3" s="78"/>
      <c r="H3" s="29"/>
      <c r="I3" s="78"/>
    </row>
    <row r="4" spans="1:18" ht="129.75" customHeight="1">
      <c r="A4" s="99" t="s">
        <v>0</v>
      </c>
      <c r="B4" s="6" t="s">
        <v>1</v>
      </c>
      <c r="C4" s="76" t="s">
        <v>52</v>
      </c>
      <c r="D4" s="64" t="s">
        <v>53</v>
      </c>
      <c r="E4" s="51" t="s">
        <v>54</v>
      </c>
      <c r="F4" s="52" t="s">
        <v>55</v>
      </c>
      <c r="G4" s="79" t="s">
        <v>61</v>
      </c>
      <c r="H4" s="53" t="s">
        <v>65</v>
      </c>
      <c r="I4" s="82" t="s">
        <v>56</v>
      </c>
      <c r="J4" s="52" t="s">
        <v>57</v>
      </c>
      <c r="K4" s="51" t="s">
        <v>58</v>
      </c>
      <c r="L4" s="52" t="s">
        <v>59</v>
      </c>
      <c r="M4" s="83" t="s">
        <v>60</v>
      </c>
      <c r="N4" s="73" t="s">
        <v>68</v>
      </c>
      <c r="O4" s="73" t="s">
        <v>69</v>
      </c>
      <c r="P4" s="73" t="s">
        <v>70</v>
      </c>
      <c r="Q4" s="84" t="s">
        <v>74</v>
      </c>
      <c r="R4" s="32"/>
    </row>
    <row r="5" spans="1:18" s="8" customFormat="1" ht="21.75" customHeight="1">
      <c r="A5" s="85">
        <v>1</v>
      </c>
      <c r="B5" s="86">
        <v>2</v>
      </c>
      <c r="C5" s="85">
        <v>3</v>
      </c>
      <c r="D5" s="86">
        <v>4</v>
      </c>
      <c r="E5" s="85">
        <v>5</v>
      </c>
      <c r="F5" s="86">
        <v>6</v>
      </c>
      <c r="G5" s="85">
        <v>7</v>
      </c>
      <c r="H5" s="86">
        <v>8</v>
      </c>
      <c r="I5" s="85">
        <v>9</v>
      </c>
      <c r="J5" s="86">
        <v>10</v>
      </c>
      <c r="K5" s="85">
        <v>11</v>
      </c>
      <c r="L5" s="86">
        <v>12</v>
      </c>
      <c r="M5" s="85">
        <v>13</v>
      </c>
      <c r="N5" s="86">
        <v>14</v>
      </c>
      <c r="O5" s="85">
        <v>15</v>
      </c>
      <c r="P5" s="86">
        <v>16</v>
      </c>
      <c r="Q5" s="85">
        <v>17</v>
      </c>
      <c r="R5" s="7"/>
    </row>
    <row r="6" spans="1:17" s="26" customFormat="1" ht="18.75" thickBot="1">
      <c r="A6" s="70">
        <v>1</v>
      </c>
      <c r="B6" s="72" t="s">
        <v>2</v>
      </c>
      <c r="C6" s="16">
        <f>E6+G6+I6+K6</f>
        <v>126.989</v>
      </c>
      <c r="D6" s="17">
        <f>F6+H6+J6+L6</f>
        <v>3</v>
      </c>
      <c r="E6" s="16">
        <v>74.182</v>
      </c>
      <c r="F6" s="17">
        <v>2</v>
      </c>
      <c r="G6" s="33">
        <v>52.807</v>
      </c>
      <c r="H6" s="34">
        <v>1</v>
      </c>
      <c r="I6" s="18">
        <v>0</v>
      </c>
      <c r="J6" s="17">
        <v>0</v>
      </c>
      <c r="K6" s="16">
        <v>0</v>
      </c>
      <c r="L6" s="17">
        <v>0</v>
      </c>
      <c r="M6" s="47">
        <v>13.128</v>
      </c>
      <c r="N6" s="62">
        <f>ROUND((G6/H6),3)</f>
        <v>52.807</v>
      </c>
      <c r="O6" s="62">
        <f>ROUND((G6+I6)/(H6+J6),3)</f>
        <v>52.807</v>
      </c>
      <c r="P6" s="63" t="s">
        <v>67</v>
      </c>
      <c r="Q6" s="74">
        <f>E6/F6</f>
        <v>37.091</v>
      </c>
    </row>
    <row r="7" spans="1:17" s="26" customFormat="1" ht="18.75" thickBot="1">
      <c r="A7" s="100" t="s">
        <v>3</v>
      </c>
      <c r="B7" s="101"/>
      <c r="C7" s="9">
        <f aca="true" t="shared" si="0" ref="C7:Q7">SUM(C6:C6)</f>
        <v>126.989</v>
      </c>
      <c r="D7" s="10">
        <f t="shared" si="0"/>
        <v>3</v>
      </c>
      <c r="E7" s="9">
        <f t="shared" si="0"/>
        <v>74.182</v>
      </c>
      <c r="F7" s="10">
        <f t="shared" si="0"/>
        <v>2</v>
      </c>
      <c r="G7" s="9">
        <f t="shared" si="0"/>
        <v>52.807</v>
      </c>
      <c r="H7" s="10">
        <f t="shared" si="0"/>
        <v>1</v>
      </c>
      <c r="I7" s="9">
        <f t="shared" si="0"/>
        <v>0</v>
      </c>
      <c r="J7" s="10">
        <f t="shared" si="0"/>
        <v>0</v>
      </c>
      <c r="K7" s="9">
        <f t="shared" si="0"/>
        <v>0</v>
      </c>
      <c r="L7" s="10">
        <f t="shared" si="0"/>
        <v>0</v>
      </c>
      <c r="M7" s="9">
        <f t="shared" si="0"/>
        <v>13.128</v>
      </c>
      <c r="N7" s="9">
        <f t="shared" si="0"/>
        <v>52.807</v>
      </c>
      <c r="O7" s="9">
        <f t="shared" si="0"/>
        <v>52.807</v>
      </c>
      <c r="P7" s="9">
        <f t="shared" si="0"/>
        <v>0</v>
      </c>
      <c r="Q7" s="75">
        <f t="shared" si="0"/>
        <v>37.091</v>
      </c>
    </row>
    <row r="8" spans="1:17" s="26" customFormat="1" ht="18">
      <c r="A8" s="102" t="s">
        <v>4</v>
      </c>
      <c r="B8" s="103"/>
      <c r="C8" s="36"/>
      <c r="D8" s="11"/>
      <c r="E8" s="12"/>
      <c r="F8" s="11"/>
      <c r="G8" s="80"/>
      <c r="H8" s="38"/>
      <c r="I8" s="39"/>
      <c r="J8" s="40"/>
      <c r="K8" s="37"/>
      <c r="L8" s="40"/>
      <c r="M8" s="48"/>
      <c r="N8" s="62"/>
      <c r="O8" s="62"/>
      <c r="P8" s="62"/>
      <c r="Q8" s="74"/>
    </row>
    <row r="9" spans="1:17" s="26" customFormat="1" ht="18">
      <c r="A9" s="65">
        <v>2</v>
      </c>
      <c r="B9" s="66" t="s">
        <v>5</v>
      </c>
      <c r="C9" s="16">
        <f>E9+G9+I9+K9</f>
        <v>482.936</v>
      </c>
      <c r="D9" s="17">
        <f>F9+H9+J9+L9</f>
        <v>18</v>
      </c>
      <c r="E9" s="13">
        <v>48.397</v>
      </c>
      <c r="F9" s="14">
        <v>1</v>
      </c>
      <c r="G9" s="42">
        <v>338.539</v>
      </c>
      <c r="H9" s="41">
        <v>9</v>
      </c>
      <c r="I9" s="15">
        <v>0</v>
      </c>
      <c r="J9" s="14">
        <v>0</v>
      </c>
      <c r="K9" s="13">
        <v>96</v>
      </c>
      <c r="L9" s="14">
        <v>8</v>
      </c>
      <c r="M9" s="49">
        <v>22</v>
      </c>
      <c r="N9" s="62">
        <f>ROUND((G9/H9),3)</f>
        <v>37.615</v>
      </c>
      <c r="O9" s="62">
        <f aca="true" t="shared" si="1" ref="O9:O54">ROUND((G9+I9)/(H9+J9),3)</f>
        <v>37.615</v>
      </c>
      <c r="P9" s="62">
        <f aca="true" t="shared" si="2" ref="P9:P17">C9/D9</f>
        <v>26.829777777777778</v>
      </c>
      <c r="Q9" s="74">
        <f aca="true" t="shared" si="3" ref="Q9:Q17">E9/F9</f>
        <v>48.397</v>
      </c>
    </row>
    <row r="10" spans="1:17" s="26" customFormat="1" ht="18">
      <c r="A10" s="65">
        <v>3</v>
      </c>
      <c r="B10" s="66" t="s">
        <v>6</v>
      </c>
      <c r="C10" s="16">
        <f aca="true" t="shared" si="4" ref="C10:C17">E10+G10+I10+K10</f>
        <v>667.2249999999999</v>
      </c>
      <c r="D10" s="17">
        <f aca="true" t="shared" si="5" ref="D10:D17">F10+H10+J10+L10</f>
        <v>19</v>
      </c>
      <c r="E10" s="13">
        <v>67.134</v>
      </c>
      <c r="F10" s="14">
        <v>1</v>
      </c>
      <c r="G10" s="42">
        <v>468.698</v>
      </c>
      <c r="H10" s="41">
        <v>10</v>
      </c>
      <c r="I10" s="15">
        <v>29.131</v>
      </c>
      <c r="J10" s="14">
        <v>1</v>
      </c>
      <c r="K10" s="13">
        <v>102.262</v>
      </c>
      <c r="L10" s="14">
        <v>7</v>
      </c>
      <c r="M10" s="49">
        <v>75.175</v>
      </c>
      <c r="N10" s="62">
        <f aca="true" t="shared" si="6" ref="N10:N17">ROUND((G10/H10),3)</f>
        <v>46.87</v>
      </c>
      <c r="O10" s="62">
        <f t="shared" si="1"/>
        <v>45.257</v>
      </c>
      <c r="P10" s="62">
        <f t="shared" si="2"/>
        <v>35.11710526315789</v>
      </c>
      <c r="Q10" s="74">
        <f t="shared" si="3"/>
        <v>67.134</v>
      </c>
    </row>
    <row r="11" spans="1:17" s="26" customFormat="1" ht="18">
      <c r="A11" s="65">
        <v>4</v>
      </c>
      <c r="B11" s="66" t="s">
        <v>7</v>
      </c>
      <c r="C11" s="16">
        <f t="shared" si="4"/>
        <v>658.279</v>
      </c>
      <c r="D11" s="17">
        <f t="shared" si="5"/>
        <v>19</v>
      </c>
      <c r="E11" s="13">
        <v>57.391</v>
      </c>
      <c r="F11" s="14">
        <v>1</v>
      </c>
      <c r="G11" s="42">
        <f>492.166-2.4</f>
        <v>489.766</v>
      </c>
      <c r="H11" s="41">
        <f>10-1</f>
        <v>9</v>
      </c>
      <c r="I11" s="15">
        <v>36.082</v>
      </c>
      <c r="J11" s="14">
        <v>1</v>
      </c>
      <c r="K11" s="13">
        <v>75.04</v>
      </c>
      <c r="L11" s="14">
        <v>8</v>
      </c>
      <c r="M11" s="49">
        <v>18</v>
      </c>
      <c r="N11" s="62">
        <f t="shared" si="6"/>
        <v>54.418</v>
      </c>
      <c r="O11" s="62">
        <f t="shared" si="1"/>
        <v>52.585</v>
      </c>
      <c r="P11" s="62">
        <f t="shared" si="2"/>
        <v>34.64626315789474</v>
      </c>
      <c r="Q11" s="74">
        <f t="shared" si="3"/>
        <v>57.391</v>
      </c>
    </row>
    <row r="12" spans="1:17" s="26" customFormat="1" ht="18">
      <c r="A12" s="65">
        <v>5</v>
      </c>
      <c r="B12" s="66" t="s">
        <v>8</v>
      </c>
      <c r="C12" s="16">
        <f t="shared" si="4"/>
        <v>615.486</v>
      </c>
      <c r="D12" s="17">
        <f t="shared" si="5"/>
        <v>21</v>
      </c>
      <c r="E12" s="13">
        <v>37.904</v>
      </c>
      <c r="F12" s="14">
        <v>1</v>
      </c>
      <c r="G12" s="42">
        <v>431.587</v>
      </c>
      <c r="H12" s="41">
        <v>9</v>
      </c>
      <c r="I12" s="15">
        <v>38.039</v>
      </c>
      <c r="J12" s="14">
        <v>3</v>
      </c>
      <c r="K12" s="13">
        <v>107.956</v>
      </c>
      <c r="L12" s="14">
        <v>8</v>
      </c>
      <c r="M12" s="49">
        <v>13</v>
      </c>
      <c r="N12" s="62">
        <f t="shared" si="6"/>
        <v>47.954</v>
      </c>
      <c r="O12" s="62">
        <f t="shared" si="1"/>
        <v>39.136</v>
      </c>
      <c r="P12" s="62">
        <f t="shared" si="2"/>
        <v>29.308857142857143</v>
      </c>
      <c r="Q12" s="74">
        <f t="shared" si="3"/>
        <v>37.904</v>
      </c>
    </row>
    <row r="13" spans="1:17" s="26" customFormat="1" ht="18">
      <c r="A13" s="65">
        <v>6</v>
      </c>
      <c r="B13" s="66" t="s">
        <v>9</v>
      </c>
      <c r="C13" s="16">
        <f t="shared" si="4"/>
        <v>585.371</v>
      </c>
      <c r="D13" s="17">
        <f t="shared" si="5"/>
        <v>19</v>
      </c>
      <c r="E13" s="13">
        <v>154.119</v>
      </c>
      <c r="F13" s="14">
        <v>2</v>
      </c>
      <c r="G13" s="42">
        <v>343.316</v>
      </c>
      <c r="H13" s="41">
        <v>9</v>
      </c>
      <c r="I13" s="15">
        <f>53.694-22.09</f>
        <v>31.604000000000003</v>
      </c>
      <c r="J13" s="14">
        <f>2-1</f>
        <v>1</v>
      </c>
      <c r="K13" s="13">
        <f>62.75-6.418</f>
        <v>56.332</v>
      </c>
      <c r="L13" s="14">
        <f>8-1</f>
        <v>7</v>
      </c>
      <c r="M13" s="49">
        <v>66</v>
      </c>
      <c r="N13" s="62">
        <f t="shared" si="6"/>
        <v>38.146</v>
      </c>
      <c r="O13" s="62">
        <f t="shared" si="1"/>
        <v>37.492</v>
      </c>
      <c r="P13" s="62">
        <f t="shared" si="2"/>
        <v>30.808999999999997</v>
      </c>
      <c r="Q13" s="74">
        <f t="shared" si="3"/>
        <v>77.0595</v>
      </c>
    </row>
    <row r="14" spans="1:17" s="26" customFormat="1" ht="18">
      <c r="A14" s="65">
        <v>7</v>
      </c>
      <c r="B14" s="66" t="s">
        <v>10</v>
      </c>
      <c r="C14" s="16">
        <f t="shared" si="4"/>
        <v>574.115</v>
      </c>
      <c r="D14" s="17">
        <f t="shared" si="5"/>
        <v>17</v>
      </c>
      <c r="E14" s="13">
        <v>56.245</v>
      </c>
      <c r="F14" s="14">
        <v>1</v>
      </c>
      <c r="G14" s="42">
        <v>407.855</v>
      </c>
      <c r="H14" s="41">
        <v>9</v>
      </c>
      <c r="I14" s="54">
        <v>41.015</v>
      </c>
      <c r="J14" s="55">
        <v>1</v>
      </c>
      <c r="K14" s="13">
        <v>69</v>
      </c>
      <c r="L14" s="14">
        <v>6</v>
      </c>
      <c r="M14" s="49">
        <v>29.249</v>
      </c>
      <c r="N14" s="62">
        <f t="shared" si="6"/>
        <v>45.317</v>
      </c>
      <c r="O14" s="62">
        <f t="shared" si="1"/>
        <v>44.887</v>
      </c>
      <c r="P14" s="62">
        <f t="shared" si="2"/>
        <v>33.771470588235296</v>
      </c>
      <c r="Q14" s="74">
        <f t="shared" si="3"/>
        <v>56.245</v>
      </c>
    </row>
    <row r="15" spans="1:17" s="26" customFormat="1" ht="18">
      <c r="A15" s="65">
        <v>8</v>
      </c>
      <c r="B15" s="66" t="s">
        <v>11</v>
      </c>
      <c r="C15" s="16">
        <f t="shared" si="4"/>
        <v>501.568</v>
      </c>
      <c r="D15" s="17">
        <f t="shared" si="5"/>
        <v>16</v>
      </c>
      <c r="E15" s="13">
        <v>61.925</v>
      </c>
      <c r="F15" s="14">
        <v>1</v>
      </c>
      <c r="G15" s="42">
        <v>387.143</v>
      </c>
      <c r="H15" s="41">
        <v>8</v>
      </c>
      <c r="I15" s="15">
        <v>0</v>
      </c>
      <c r="J15" s="14">
        <v>0</v>
      </c>
      <c r="K15" s="13">
        <v>52.5</v>
      </c>
      <c r="L15" s="14">
        <v>7</v>
      </c>
      <c r="M15" s="49">
        <v>26.385</v>
      </c>
      <c r="N15" s="62">
        <f t="shared" si="6"/>
        <v>48.393</v>
      </c>
      <c r="O15" s="62">
        <f t="shared" si="1"/>
        <v>48.393</v>
      </c>
      <c r="P15" s="62">
        <f t="shared" si="2"/>
        <v>31.348</v>
      </c>
      <c r="Q15" s="74">
        <f t="shared" si="3"/>
        <v>61.925</v>
      </c>
    </row>
    <row r="16" spans="1:18" s="26" customFormat="1" ht="18">
      <c r="A16" s="65">
        <v>9</v>
      </c>
      <c r="B16" s="66" t="s">
        <v>12</v>
      </c>
      <c r="C16" s="16">
        <f t="shared" si="4"/>
        <v>769.1970000000001</v>
      </c>
      <c r="D16" s="17">
        <f t="shared" si="5"/>
        <v>21</v>
      </c>
      <c r="E16" s="13">
        <v>72.798</v>
      </c>
      <c r="F16" s="14">
        <v>2</v>
      </c>
      <c r="G16" s="42">
        <v>543.368</v>
      </c>
      <c r="H16" s="41">
        <v>10</v>
      </c>
      <c r="I16" s="15">
        <v>61.697</v>
      </c>
      <c r="J16" s="14">
        <v>2</v>
      </c>
      <c r="K16" s="13">
        <v>91.334</v>
      </c>
      <c r="L16" s="14">
        <v>7</v>
      </c>
      <c r="M16" s="49">
        <v>37.289</v>
      </c>
      <c r="N16" s="62">
        <f t="shared" si="6"/>
        <v>54.337</v>
      </c>
      <c r="O16" s="62">
        <f t="shared" si="1"/>
        <v>50.422</v>
      </c>
      <c r="P16" s="62">
        <f t="shared" si="2"/>
        <v>36.62842857142858</v>
      </c>
      <c r="Q16" s="74">
        <f t="shared" si="3"/>
        <v>36.399</v>
      </c>
      <c r="R16" s="28"/>
    </row>
    <row r="17" spans="1:18" s="26" customFormat="1" ht="18.75" customHeight="1" thickBot="1">
      <c r="A17" s="65">
        <v>10</v>
      </c>
      <c r="B17" s="71" t="s">
        <v>13</v>
      </c>
      <c r="C17" s="16">
        <f t="shared" si="4"/>
        <v>556.56</v>
      </c>
      <c r="D17" s="17">
        <f t="shared" si="5"/>
        <v>13</v>
      </c>
      <c r="E17" s="16">
        <v>143.115</v>
      </c>
      <c r="F17" s="17">
        <v>2</v>
      </c>
      <c r="G17" s="33">
        <v>371.481</v>
      </c>
      <c r="H17" s="34">
        <v>8</v>
      </c>
      <c r="I17" s="18">
        <v>0</v>
      </c>
      <c r="J17" s="17">
        <v>0</v>
      </c>
      <c r="K17" s="16">
        <v>41.964</v>
      </c>
      <c r="L17" s="17">
        <v>3</v>
      </c>
      <c r="M17" s="47">
        <v>28.803</v>
      </c>
      <c r="N17" s="62">
        <f t="shared" si="6"/>
        <v>46.435</v>
      </c>
      <c r="O17" s="62">
        <f t="shared" si="1"/>
        <v>46.435</v>
      </c>
      <c r="P17" s="62">
        <f t="shared" si="2"/>
        <v>42.81230769230769</v>
      </c>
      <c r="Q17" s="74">
        <f t="shared" si="3"/>
        <v>71.5575</v>
      </c>
      <c r="R17" s="28"/>
    </row>
    <row r="18" spans="1:17" s="26" customFormat="1" ht="18.75" thickBot="1">
      <c r="A18" s="57" t="s">
        <v>14</v>
      </c>
      <c r="B18" s="58"/>
      <c r="C18" s="9">
        <f>SUM(C9:C17)</f>
        <v>5410.737000000001</v>
      </c>
      <c r="D18" s="10">
        <f aca="true" t="shared" si="7" ref="D18:Q18">SUM(D9:D17)</f>
        <v>163</v>
      </c>
      <c r="E18" s="9">
        <f t="shared" si="7"/>
        <v>699.028</v>
      </c>
      <c r="F18" s="10">
        <f t="shared" si="7"/>
        <v>12</v>
      </c>
      <c r="G18" s="9">
        <f t="shared" si="7"/>
        <v>3781.7529999999997</v>
      </c>
      <c r="H18" s="10">
        <f t="shared" si="7"/>
        <v>81</v>
      </c>
      <c r="I18" s="9">
        <f t="shared" si="7"/>
        <v>237.56799999999998</v>
      </c>
      <c r="J18" s="10">
        <f t="shared" si="7"/>
        <v>9</v>
      </c>
      <c r="K18" s="9">
        <f t="shared" si="7"/>
        <v>692.3879999999999</v>
      </c>
      <c r="L18" s="10">
        <f t="shared" si="7"/>
        <v>61</v>
      </c>
      <c r="M18" s="9">
        <f t="shared" si="7"/>
        <v>315.901</v>
      </c>
      <c r="N18" s="9">
        <f t="shared" si="7"/>
        <v>419.48499999999996</v>
      </c>
      <c r="O18" s="9">
        <f t="shared" si="7"/>
        <v>402.22200000000004</v>
      </c>
      <c r="P18" s="9">
        <f t="shared" si="7"/>
        <v>301.2712101936591</v>
      </c>
      <c r="Q18" s="75">
        <f t="shared" si="7"/>
        <v>514.012</v>
      </c>
    </row>
    <row r="19" spans="1:17" s="26" customFormat="1" ht="18">
      <c r="A19" s="67"/>
      <c r="B19" s="68" t="s">
        <v>15</v>
      </c>
      <c r="C19" s="43"/>
      <c r="D19" s="11"/>
      <c r="E19" s="12"/>
      <c r="F19" s="11"/>
      <c r="G19" s="80"/>
      <c r="H19" s="38"/>
      <c r="I19" s="39"/>
      <c r="J19" s="40"/>
      <c r="K19" s="37"/>
      <c r="L19" s="40"/>
      <c r="M19" s="48"/>
      <c r="N19" s="13"/>
      <c r="O19" s="62"/>
      <c r="P19" s="62"/>
      <c r="Q19" s="74"/>
    </row>
    <row r="20" spans="1:17" s="26" customFormat="1" ht="18">
      <c r="A20" s="65">
        <v>11</v>
      </c>
      <c r="B20" s="66" t="s">
        <v>16</v>
      </c>
      <c r="C20" s="16">
        <f>E20+G20+I20+K20</f>
        <v>1823.174</v>
      </c>
      <c r="D20" s="17">
        <f>F20+H20+J20+L20</f>
        <v>54</v>
      </c>
      <c r="E20" s="13">
        <v>294.97</v>
      </c>
      <c r="F20" s="14">
        <v>5</v>
      </c>
      <c r="G20" s="42">
        <v>1206.335</v>
      </c>
      <c r="H20" s="41">
        <v>31</v>
      </c>
      <c r="I20" s="15">
        <v>150.431</v>
      </c>
      <c r="J20" s="14">
        <v>5</v>
      </c>
      <c r="K20" s="13">
        <f>193.185-21.747</f>
        <v>171.438</v>
      </c>
      <c r="L20" s="14">
        <f>16-3</f>
        <v>13</v>
      </c>
      <c r="M20" s="49">
        <v>133.002</v>
      </c>
      <c r="N20" s="62">
        <f>ROUND((G20/H20),3)</f>
        <v>38.914</v>
      </c>
      <c r="O20" s="62">
        <f t="shared" si="1"/>
        <v>37.688</v>
      </c>
      <c r="P20" s="62">
        <f aca="true" t="shared" si="8" ref="P20:P33">C20/D20</f>
        <v>33.76248148148148</v>
      </c>
      <c r="Q20" s="74">
        <f aca="true" t="shared" si="9" ref="Q20:Q33">E20/F20</f>
        <v>58.99400000000001</v>
      </c>
    </row>
    <row r="21" spans="1:17" s="26" customFormat="1" ht="18">
      <c r="A21" s="65">
        <v>12</v>
      </c>
      <c r="B21" s="66" t="s">
        <v>17</v>
      </c>
      <c r="C21" s="16">
        <f aca="true" t="shared" si="10" ref="C21:C33">E21+G21+I21+K21</f>
        <v>1002.409</v>
      </c>
      <c r="D21" s="17">
        <f aca="true" t="shared" si="11" ref="D21:D33">F21+H21+J21+L21</f>
        <v>30</v>
      </c>
      <c r="E21" s="13">
        <v>121.96</v>
      </c>
      <c r="F21" s="14">
        <v>3</v>
      </c>
      <c r="G21" s="42">
        <v>716.212</v>
      </c>
      <c r="H21" s="41">
        <v>15</v>
      </c>
      <c r="I21" s="15">
        <v>56.236</v>
      </c>
      <c r="J21" s="14">
        <v>3</v>
      </c>
      <c r="K21" s="13">
        <v>108.001</v>
      </c>
      <c r="L21" s="14">
        <v>9</v>
      </c>
      <c r="M21" s="49">
        <v>60.08</v>
      </c>
      <c r="N21" s="62">
        <f aca="true" t="shared" si="12" ref="N21:N33">ROUND((G21/H21),3)</f>
        <v>47.747</v>
      </c>
      <c r="O21" s="62">
        <f t="shared" si="1"/>
        <v>42.914</v>
      </c>
      <c r="P21" s="62">
        <f t="shared" si="8"/>
        <v>33.41363333333333</v>
      </c>
      <c r="Q21" s="74">
        <f t="shared" si="9"/>
        <v>40.65333333333333</v>
      </c>
    </row>
    <row r="22" spans="1:17" s="26" customFormat="1" ht="18">
      <c r="A22" s="65">
        <v>13</v>
      </c>
      <c r="B22" s="69" t="s">
        <v>18</v>
      </c>
      <c r="C22" s="16">
        <f t="shared" si="10"/>
        <v>1361.532</v>
      </c>
      <c r="D22" s="17">
        <f t="shared" si="11"/>
        <v>35</v>
      </c>
      <c r="E22" s="13">
        <v>186.2</v>
      </c>
      <c r="F22" s="14">
        <v>2</v>
      </c>
      <c r="G22" s="42">
        <v>915.928</v>
      </c>
      <c r="H22" s="41">
        <v>17</v>
      </c>
      <c r="I22" s="15">
        <f>208.953-17.047-87.63</f>
        <v>104.27600000000001</v>
      </c>
      <c r="J22" s="14">
        <f>7-1-3</f>
        <v>3</v>
      </c>
      <c r="K22" s="13">
        <f>282.481+24-8.625-33.602-12-35.267-12-49.859</f>
        <v>155.12800000000001</v>
      </c>
      <c r="L22" s="14">
        <f>22+2-1-1-1-3-1-4</f>
        <v>13</v>
      </c>
      <c r="M22" s="49">
        <v>83.976</v>
      </c>
      <c r="N22" s="62">
        <f t="shared" si="12"/>
        <v>53.878</v>
      </c>
      <c r="O22" s="62">
        <f t="shared" si="1"/>
        <v>51.01</v>
      </c>
      <c r="P22" s="62">
        <f t="shared" si="8"/>
        <v>38.900914285714286</v>
      </c>
      <c r="Q22" s="74">
        <f t="shared" si="9"/>
        <v>93.1</v>
      </c>
    </row>
    <row r="23" spans="1:17" s="26" customFormat="1" ht="18">
      <c r="A23" s="65">
        <v>14</v>
      </c>
      <c r="B23" s="66" t="s">
        <v>19</v>
      </c>
      <c r="C23" s="16">
        <f t="shared" si="10"/>
        <v>623.49</v>
      </c>
      <c r="D23" s="17">
        <f t="shared" si="11"/>
        <v>18</v>
      </c>
      <c r="E23" s="13">
        <v>93.39</v>
      </c>
      <c r="F23" s="14">
        <v>2</v>
      </c>
      <c r="G23" s="42">
        <v>456.536</v>
      </c>
      <c r="H23" s="41">
        <v>10</v>
      </c>
      <c r="I23" s="15">
        <v>0</v>
      </c>
      <c r="J23" s="14">
        <v>0</v>
      </c>
      <c r="K23" s="13">
        <v>73.564</v>
      </c>
      <c r="L23" s="14">
        <v>6</v>
      </c>
      <c r="M23" s="49">
        <v>30</v>
      </c>
      <c r="N23" s="62">
        <f t="shared" si="12"/>
        <v>45.654</v>
      </c>
      <c r="O23" s="62">
        <f t="shared" si="1"/>
        <v>45.654</v>
      </c>
      <c r="P23" s="62">
        <f t="shared" si="8"/>
        <v>34.638333333333335</v>
      </c>
      <c r="Q23" s="74">
        <f t="shared" si="9"/>
        <v>46.695</v>
      </c>
    </row>
    <row r="24" spans="1:17" s="26" customFormat="1" ht="18">
      <c r="A24" s="65">
        <v>15</v>
      </c>
      <c r="B24" s="69" t="s">
        <v>20</v>
      </c>
      <c r="C24" s="16">
        <f t="shared" si="10"/>
        <v>1204.037</v>
      </c>
      <c r="D24" s="17">
        <f t="shared" si="11"/>
        <v>39</v>
      </c>
      <c r="E24" s="13">
        <v>131.458</v>
      </c>
      <c r="F24" s="14">
        <v>3</v>
      </c>
      <c r="G24" s="42">
        <f>828.457+22.706</f>
        <v>851.163</v>
      </c>
      <c r="H24" s="41">
        <v>20</v>
      </c>
      <c r="I24" s="15">
        <f>95.93-54.342</f>
        <v>41.58800000000001</v>
      </c>
      <c r="J24" s="14">
        <f>4-3</f>
        <v>1</v>
      </c>
      <c r="K24" s="13">
        <f>197.264+39.574-18.158-24.976-13.876</f>
        <v>179.828</v>
      </c>
      <c r="L24" s="14">
        <f>16+4-2-2-1</f>
        <v>15</v>
      </c>
      <c r="M24" s="49">
        <v>65.326</v>
      </c>
      <c r="N24" s="62">
        <f t="shared" si="12"/>
        <v>42.558</v>
      </c>
      <c r="O24" s="62">
        <f>ROUND((G24+I24)/(H24+J24),3)</f>
        <v>42.512</v>
      </c>
      <c r="P24" s="62">
        <f t="shared" si="8"/>
        <v>30.87274358974359</v>
      </c>
      <c r="Q24" s="74">
        <f t="shared" si="9"/>
        <v>43.81933333333333</v>
      </c>
    </row>
    <row r="25" spans="1:17" s="26" customFormat="1" ht="18">
      <c r="A25" s="65">
        <v>16</v>
      </c>
      <c r="B25" s="66" t="s">
        <v>21</v>
      </c>
      <c r="C25" s="16">
        <f t="shared" si="10"/>
        <v>1375.0910000000001</v>
      </c>
      <c r="D25" s="17">
        <f t="shared" si="11"/>
        <v>41</v>
      </c>
      <c r="E25" s="13">
        <v>190.303</v>
      </c>
      <c r="F25" s="14">
        <v>4</v>
      </c>
      <c r="G25" s="42">
        <v>997.088</v>
      </c>
      <c r="H25" s="41">
        <v>25</v>
      </c>
      <c r="I25" s="15">
        <v>107.236</v>
      </c>
      <c r="J25" s="14">
        <v>4</v>
      </c>
      <c r="K25" s="13">
        <v>80.464</v>
      </c>
      <c r="L25" s="14">
        <v>8</v>
      </c>
      <c r="M25" s="49">
        <v>4.582</v>
      </c>
      <c r="N25" s="62">
        <f t="shared" si="12"/>
        <v>39.884</v>
      </c>
      <c r="O25" s="62">
        <f t="shared" si="1"/>
        <v>38.08</v>
      </c>
      <c r="P25" s="62">
        <f t="shared" si="8"/>
        <v>33.538804878048786</v>
      </c>
      <c r="Q25" s="74">
        <f t="shared" si="9"/>
        <v>47.57575</v>
      </c>
    </row>
    <row r="26" spans="1:17" s="26" customFormat="1" ht="18">
      <c r="A26" s="65">
        <v>17</v>
      </c>
      <c r="B26" s="66" t="s">
        <v>22</v>
      </c>
      <c r="C26" s="16">
        <f t="shared" si="10"/>
        <v>1076.482</v>
      </c>
      <c r="D26" s="17">
        <f t="shared" si="11"/>
        <v>30</v>
      </c>
      <c r="E26" s="13">
        <v>109.887</v>
      </c>
      <c r="F26" s="14">
        <v>2</v>
      </c>
      <c r="G26" s="42">
        <v>779.345</v>
      </c>
      <c r="H26" s="41">
        <v>17</v>
      </c>
      <c r="I26" s="15">
        <v>97.407</v>
      </c>
      <c r="J26" s="14">
        <v>3</v>
      </c>
      <c r="K26" s="13">
        <v>89.843</v>
      </c>
      <c r="L26" s="14">
        <v>8</v>
      </c>
      <c r="M26" s="49">
        <v>61.82</v>
      </c>
      <c r="N26" s="62">
        <f t="shared" si="12"/>
        <v>45.844</v>
      </c>
      <c r="O26" s="62">
        <f t="shared" si="1"/>
        <v>43.838</v>
      </c>
      <c r="P26" s="62">
        <f t="shared" si="8"/>
        <v>35.882733333333334</v>
      </c>
      <c r="Q26" s="74">
        <f t="shared" si="9"/>
        <v>54.9435</v>
      </c>
    </row>
    <row r="27" spans="1:17" s="26" customFormat="1" ht="18">
      <c r="A27" s="65">
        <v>18</v>
      </c>
      <c r="B27" s="66" t="s">
        <v>23</v>
      </c>
      <c r="C27" s="16">
        <f t="shared" si="10"/>
        <v>874.225</v>
      </c>
      <c r="D27" s="17">
        <f t="shared" si="11"/>
        <v>31</v>
      </c>
      <c r="E27" s="13">
        <v>135.325</v>
      </c>
      <c r="F27" s="14">
        <v>3</v>
      </c>
      <c r="G27" s="42">
        <v>567.482</v>
      </c>
      <c r="H27" s="41">
        <v>14</v>
      </c>
      <c r="I27" s="15">
        <v>49.035</v>
      </c>
      <c r="J27" s="14">
        <v>3</v>
      </c>
      <c r="K27" s="13">
        <v>122.383</v>
      </c>
      <c r="L27" s="14">
        <v>11</v>
      </c>
      <c r="M27" s="49">
        <v>0</v>
      </c>
      <c r="N27" s="62">
        <f t="shared" si="12"/>
        <v>40.534</v>
      </c>
      <c r="O27" s="62">
        <f t="shared" si="1"/>
        <v>36.266</v>
      </c>
      <c r="P27" s="62">
        <f t="shared" si="8"/>
        <v>28.200806451612905</v>
      </c>
      <c r="Q27" s="74">
        <f t="shared" si="9"/>
        <v>45.10833333333333</v>
      </c>
    </row>
    <row r="28" spans="1:18" s="26" customFormat="1" ht="18">
      <c r="A28" s="65">
        <v>19</v>
      </c>
      <c r="B28" s="66" t="s">
        <v>24</v>
      </c>
      <c r="C28" s="16">
        <f t="shared" si="10"/>
        <v>1087.451</v>
      </c>
      <c r="D28" s="17">
        <f t="shared" si="11"/>
        <v>25</v>
      </c>
      <c r="E28" s="13">
        <v>93.06</v>
      </c>
      <c r="F28" s="14">
        <v>2</v>
      </c>
      <c r="G28" s="42">
        <v>866.339</v>
      </c>
      <c r="H28" s="41">
        <v>14</v>
      </c>
      <c r="I28" s="15">
        <v>26.283</v>
      </c>
      <c r="J28" s="14">
        <v>2</v>
      </c>
      <c r="K28" s="13">
        <f>121.263-19.494</f>
        <v>101.769</v>
      </c>
      <c r="L28" s="14">
        <f>8-1</f>
        <v>7</v>
      </c>
      <c r="M28" s="49">
        <v>44.7</v>
      </c>
      <c r="N28" s="62">
        <f t="shared" si="12"/>
        <v>61.881</v>
      </c>
      <c r="O28" s="62">
        <f t="shared" si="1"/>
        <v>55.789</v>
      </c>
      <c r="P28" s="62">
        <f t="shared" si="8"/>
        <v>43.49804</v>
      </c>
      <c r="Q28" s="74">
        <f t="shared" si="9"/>
        <v>46.53</v>
      </c>
      <c r="R28" s="28"/>
    </row>
    <row r="29" spans="1:17" s="26" customFormat="1" ht="18">
      <c r="A29" s="65">
        <v>20</v>
      </c>
      <c r="B29" s="66" t="s">
        <v>25</v>
      </c>
      <c r="C29" s="16">
        <f t="shared" si="10"/>
        <v>936.4079999999999</v>
      </c>
      <c r="D29" s="17">
        <f t="shared" si="11"/>
        <v>28</v>
      </c>
      <c r="E29" s="13">
        <v>98.011</v>
      </c>
      <c r="F29" s="14">
        <v>2</v>
      </c>
      <c r="G29" s="42">
        <f>714.514-23.946</f>
        <v>690.568</v>
      </c>
      <c r="H29" s="41">
        <f>16-1</f>
        <v>15</v>
      </c>
      <c r="I29" s="15">
        <v>40.178</v>
      </c>
      <c r="J29" s="14">
        <v>2</v>
      </c>
      <c r="K29" s="13">
        <v>107.651</v>
      </c>
      <c r="L29" s="14">
        <v>9</v>
      </c>
      <c r="M29" s="49">
        <v>45</v>
      </c>
      <c r="N29" s="62">
        <f t="shared" si="12"/>
        <v>46.038</v>
      </c>
      <c r="O29" s="62">
        <f t="shared" si="1"/>
        <v>42.985</v>
      </c>
      <c r="P29" s="62">
        <f t="shared" si="8"/>
        <v>33.44314285714285</v>
      </c>
      <c r="Q29" s="74">
        <f t="shared" si="9"/>
        <v>49.0055</v>
      </c>
    </row>
    <row r="30" spans="1:17" s="26" customFormat="1" ht="18">
      <c r="A30" s="65">
        <v>21</v>
      </c>
      <c r="B30" s="66" t="s">
        <v>26</v>
      </c>
      <c r="C30" s="16">
        <f t="shared" si="10"/>
        <v>3276.898</v>
      </c>
      <c r="D30" s="17">
        <f t="shared" si="11"/>
        <v>83</v>
      </c>
      <c r="E30" s="13">
        <v>429.582</v>
      </c>
      <c r="F30" s="14">
        <f>7-1</f>
        <v>6</v>
      </c>
      <c r="G30" s="42">
        <f>2137.833-12.488</f>
        <v>2125.3450000000003</v>
      </c>
      <c r="H30" s="41">
        <f>45-1</f>
        <v>44</v>
      </c>
      <c r="I30" s="15">
        <v>375.782</v>
      </c>
      <c r="J30" s="14">
        <v>8</v>
      </c>
      <c r="K30" s="13">
        <v>346.189</v>
      </c>
      <c r="L30" s="14">
        <v>25</v>
      </c>
      <c r="M30" s="49">
        <v>178.508</v>
      </c>
      <c r="N30" s="62">
        <f t="shared" si="12"/>
        <v>48.303</v>
      </c>
      <c r="O30" s="62">
        <f t="shared" si="1"/>
        <v>48.099</v>
      </c>
      <c r="P30" s="62">
        <f t="shared" si="8"/>
        <v>39.48069879518072</v>
      </c>
      <c r="Q30" s="74">
        <f t="shared" si="9"/>
        <v>71.597</v>
      </c>
    </row>
    <row r="31" spans="1:17" s="26" customFormat="1" ht="18">
      <c r="A31" s="65">
        <v>22</v>
      </c>
      <c r="B31" s="66" t="s">
        <v>27</v>
      </c>
      <c r="C31" s="16">
        <f t="shared" si="10"/>
        <v>2270.791</v>
      </c>
      <c r="D31" s="17">
        <f t="shared" si="11"/>
        <v>55</v>
      </c>
      <c r="E31" s="13">
        <v>319.64</v>
      </c>
      <c r="F31" s="14">
        <v>5</v>
      </c>
      <c r="G31" s="42">
        <f>1553.598+12.994</f>
        <v>1566.5919999999999</v>
      </c>
      <c r="H31" s="41">
        <v>34</v>
      </c>
      <c r="I31" s="15">
        <v>166.253</v>
      </c>
      <c r="J31" s="14">
        <v>4</v>
      </c>
      <c r="K31" s="13">
        <v>218.306</v>
      </c>
      <c r="L31" s="14">
        <v>12</v>
      </c>
      <c r="M31" s="49">
        <v>102.5</v>
      </c>
      <c r="N31" s="62">
        <f t="shared" si="12"/>
        <v>46.076</v>
      </c>
      <c r="O31" s="62">
        <f t="shared" si="1"/>
        <v>45.601</v>
      </c>
      <c r="P31" s="62">
        <f t="shared" si="8"/>
        <v>41.28710909090909</v>
      </c>
      <c r="Q31" s="74">
        <f t="shared" si="9"/>
        <v>63.928</v>
      </c>
    </row>
    <row r="32" spans="1:17" s="26" customFormat="1" ht="18">
      <c r="A32" s="65">
        <v>23</v>
      </c>
      <c r="B32" s="66" t="s">
        <v>28</v>
      </c>
      <c r="C32" s="16">
        <f t="shared" si="10"/>
        <v>2556.3619999999996</v>
      </c>
      <c r="D32" s="17">
        <f t="shared" si="11"/>
        <v>65</v>
      </c>
      <c r="E32" s="13">
        <v>436.585</v>
      </c>
      <c r="F32" s="14">
        <v>6</v>
      </c>
      <c r="G32" s="42">
        <f>1783.708+17.144</f>
        <v>1800.852</v>
      </c>
      <c r="H32" s="14">
        <v>40</v>
      </c>
      <c r="I32" s="15">
        <v>71.477</v>
      </c>
      <c r="J32" s="14">
        <v>2</v>
      </c>
      <c r="K32" s="13">
        <v>247.448</v>
      </c>
      <c r="L32" s="14">
        <v>17</v>
      </c>
      <c r="M32" s="49">
        <v>116.893</v>
      </c>
      <c r="N32" s="62">
        <f t="shared" si="12"/>
        <v>45.021</v>
      </c>
      <c r="O32" s="62">
        <f t="shared" si="1"/>
        <v>44.579</v>
      </c>
      <c r="P32" s="62">
        <f t="shared" si="8"/>
        <v>39.32864615384615</v>
      </c>
      <c r="Q32" s="74">
        <f t="shared" si="9"/>
        <v>72.76416666666667</v>
      </c>
    </row>
    <row r="33" spans="1:17" s="26" customFormat="1" ht="18.75" thickBot="1">
      <c r="A33" s="70">
        <v>24</v>
      </c>
      <c r="B33" s="71" t="s">
        <v>29</v>
      </c>
      <c r="C33" s="16">
        <f t="shared" si="10"/>
        <v>943.8220000000001</v>
      </c>
      <c r="D33" s="17">
        <f t="shared" si="11"/>
        <v>26</v>
      </c>
      <c r="E33" s="16">
        <v>151.951</v>
      </c>
      <c r="F33" s="17">
        <v>3</v>
      </c>
      <c r="G33" s="33">
        <f>589.73+24.028</f>
        <v>613.758</v>
      </c>
      <c r="H33" s="34">
        <v>12</v>
      </c>
      <c r="I33" s="18">
        <v>58.113</v>
      </c>
      <c r="J33" s="17">
        <v>1</v>
      </c>
      <c r="K33" s="16">
        <f>126-6</f>
        <v>120</v>
      </c>
      <c r="L33" s="17">
        <f>11-1</f>
        <v>10</v>
      </c>
      <c r="M33" s="47">
        <v>0</v>
      </c>
      <c r="N33" s="62">
        <f t="shared" si="12"/>
        <v>51.147</v>
      </c>
      <c r="O33" s="62">
        <f t="shared" si="1"/>
        <v>51.682</v>
      </c>
      <c r="P33" s="62">
        <f t="shared" si="8"/>
        <v>36.30084615384616</v>
      </c>
      <c r="Q33" s="74">
        <f t="shared" si="9"/>
        <v>50.65033333333333</v>
      </c>
    </row>
    <row r="34" spans="1:17" s="26" customFormat="1" ht="18.75" thickBot="1">
      <c r="A34" s="57" t="s">
        <v>30</v>
      </c>
      <c r="B34" s="58"/>
      <c r="C34" s="9">
        <f>SUM(C20:C33)</f>
        <v>20412.172000000002</v>
      </c>
      <c r="D34" s="10">
        <f aca="true" t="shared" si="13" ref="D34:Q34">SUM(D20:D33)</f>
        <v>560</v>
      </c>
      <c r="E34" s="9">
        <f t="shared" si="13"/>
        <v>2792.3219999999997</v>
      </c>
      <c r="F34" s="10">
        <f t="shared" si="13"/>
        <v>48</v>
      </c>
      <c r="G34" s="9">
        <f t="shared" si="13"/>
        <v>14153.543000000001</v>
      </c>
      <c r="H34" s="10">
        <f t="shared" si="13"/>
        <v>308</v>
      </c>
      <c r="I34" s="9">
        <f t="shared" si="13"/>
        <v>1344.295</v>
      </c>
      <c r="J34" s="10">
        <f t="shared" si="13"/>
        <v>41</v>
      </c>
      <c r="K34" s="9">
        <f t="shared" si="13"/>
        <v>2122.0120000000006</v>
      </c>
      <c r="L34" s="10">
        <f t="shared" si="13"/>
        <v>163</v>
      </c>
      <c r="M34" s="9">
        <f t="shared" si="13"/>
        <v>926.3870000000001</v>
      </c>
      <c r="N34" s="9">
        <f t="shared" si="13"/>
        <v>653.479</v>
      </c>
      <c r="O34" s="9">
        <f t="shared" si="13"/>
        <v>626.697</v>
      </c>
      <c r="P34" s="9">
        <f t="shared" si="13"/>
        <v>502.548933737526</v>
      </c>
      <c r="Q34" s="75">
        <f t="shared" si="13"/>
        <v>785.36425</v>
      </c>
    </row>
    <row r="35" spans="1:17" s="26" customFormat="1" ht="18.75" thickBot="1">
      <c r="A35" s="57" t="s">
        <v>31</v>
      </c>
      <c r="B35" s="58"/>
      <c r="C35" s="9">
        <f>C34+C18+C7</f>
        <v>25949.898000000005</v>
      </c>
      <c r="D35" s="10">
        <f aca="true" t="shared" si="14" ref="D35:Q35">D34+D18+D7</f>
        <v>726</v>
      </c>
      <c r="E35" s="9">
        <f t="shared" si="14"/>
        <v>3565.5319999999992</v>
      </c>
      <c r="F35" s="10">
        <f t="shared" si="14"/>
        <v>62</v>
      </c>
      <c r="G35" s="9">
        <f t="shared" si="14"/>
        <v>17988.103000000003</v>
      </c>
      <c r="H35" s="10">
        <f t="shared" si="14"/>
        <v>390</v>
      </c>
      <c r="I35" s="9">
        <f t="shared" si="14"/>
        <v>1581.863</v>
      </c>
      <c r="J35" s="10">
        <f t="shared" si="14"/>
        <v>50</v>
      </c>
      <c r="K35" s="9">
        <f t="shared" si="14"/>
        <v>2814.4000000000005</v>
      </c>
      <c r="L35" s="10">
        <f t="shared" si="14"/>
        <v>224</v>
      </c>
      <c r="M35" s="9">
        <f t="shared" si="14"/>
        <v>1255.416</v>
      </c>
      <c r="N35" s="9">
        <f t="shared" si="14"/>
        <v>1125.771</v>
      </c>
      <c r="O35" s="9">
        <f t="shared" si="14"/>
        <v>1081.726</v>
      </c>
      <c r="P35" s="9">
        <f t="shared" si="14"/>
        <v>803.8201439311852</v>
      </c>
      <c r="Q35" s="75">
        <f t="shared" si="14"/>
        <v>1336.4672499999997</v>
      </c>
    </row>
    <row r="36" spans="1:17" s="26" customFormat="1" ht="18">
      <c r="A36" s="67"/>
      <c r="B36" s="68" t="s">
        <v>32</v>
      </c>
      <c r="C36" s="43"/>
      <c r="D36" s="11"/>
      <c r="E36" s="12"/>
      <c r="F36" s="11"/>
      <c r="G36" s="80"/>
      <c r="H36" s="38"/>
      <c r="I36" s="39"/>
      <c r="J36" s="40"/>
      <c r="K36" s="37"/>
      <c r="L36" s="40"/>
      <c r="M36" s="48"/>
      <c r="N36" s="13"/>
      <c r="O36" s="62"/>
      <c r="P36" s="62"/>
      <c r="Q36" s="74"/>
    </row>
    <row r="37" spans="1:17" s="26" customFormat="1" ht="18">
      <c r="A37" s="65">
        <v>25</v>
      </c>
      <c r="B37" s="66" t="s">
        <v>33</v>
      </c>
      <c r="C37" s="16">
        <f aca="true" t="shared" si="15" ref="C37:D40">E37+G37+I37+K37</f>
        <v>1173.798</v>
      </c>
      <c r="D37" s="17">
        <f t="shared" si="15"/>
        <v>36</v>
      </c>
      <c r="E37" s="13">
        <v>204.955</v>
      </c>
      <c r="F37" s="14">
        <v>4</v>
      </c>
      <c r="G37" s="42">
        <f>829.548-50.848</f>
        <v>778.7</v>
      </c>
      <c r="H37" s="41">
        <f>23-3</f>
        <v>20</v>
      </c>
      <c r="I37" s="15">
        <v>47.49</v>
      </c>
      <c r="J37" s="14">
        <v>1</v>
      </c>
      <c r="K37" s="13">
        <f>163.033-20.38</f>
        <v>142.653</v>
      </c>
      <c r="L37" s="14">
        <f>13-2</f>
        <v>11</v>
      </c>
      <c r="M37" s="49">
        <v>10</v>
      </c>
      <c r="N37" s="62">
        <f>ROUND((G37/H37),3)</f>
        <v>38.935</v>
      </c>
      <c r="O37" s="62">
        <f t="shared" si="1"/>
        <v>39.342</v>
      </c>
      <c r="P37" s="62">
        <f>C37/D37</f>
        <v>32.6055</v>
      </c>
      <c r="Q37" s="74">
        <f>E37/F37</f>
        <v>51.23875</v>
      </c>
    </row>
    <row r="38" spans="1:17" s="26" customFormat="1" ht="18">
      <c r="A38" s="65">
        <v>26</v>
      </c>
      <c r="B38" s="66" t="s">
        <v>34</v>
      </c>
      <c r="C38" s="16">
        <f t="shared" si="15"/>
        <v>916.7390000000001</v>
      </c>
      <c r="D38" s="17">
        <f t="shared" si="15"/>
        <v>33</v>
      </c>
      <c r="E38" s="13">
        <v>127.786</v>
      </c>
      <c r="F38" s="14">
        <v>3</v>
      </c>
      <c r="G38" s="42">
        <v>558.556</v>
      </c>
      <c r="H38" s="41">
        <v>14</v>
      </c>
      <c r="I38" s="15">
        <f>93.985-2.395</f>
        <v>91.59</v>
      </c>
      <c r="J38" s="14">
        <f>4-1</f>
        <v>3</v>
      </c>
      <c r="K38" s="13">
        <v>138.807</v>
      </c>
      <c r="L38" s="14">
        <v>13</v>
      </c>
      <c r="M38" s="49">
        <v>57.444</v>
      </c>
      <c r="N38" s="62">
        <f>ROUND((G38/H38),3)</f>
        <v>39.897</v>
      </c>
      <c r="O38" s="62">
        <f t="shared" si="1"/>
        <v>38.244</v>
      </c>
      <c r="P38" s="62">
        <f>C38/D38</f>
        <v>27.7799696969697</v>
      </c>
      <c r="Q38" s="74">
        <f>E38/F38</f>
        <v>42.595333333333336</v>
      </c>
    </row>
    <row r="39" spans="1:17" s="26" customFormat="1" ht="18">
      <c r="A39" s="65">
        <v>27</v>
      </c>
      <c r="B39" s="66" t="s">
        <v>35</v>
      </c>
      <c r="C39" s="16">
        <f t="shared" si="15"/>
        <v>1115.435</v>
      </c>
      <c r="D39" s="17">
        <f t="shared" si="15"/>
        <v>39</v>
      </c>
      <c r="E39" s="13">
        <v>152.807</v>
      </c>
      <c r="F39" s="14">
        <v>3</v>
      </c>
      <c r="G39" s="42">
        <v>765.948</v>
      </c>
      <c r="H39" s="41">
        <v>22</v>
      </c>
      <c r="I39" s="15">
        <v>39.38</v>
      </c>
      <c r="J39" s="14">
        <v>2</v>
      </c>
      <c r="K39" s="13">
        <f>163.83-6.53</f>
        <v>157.3</v>
      </c>
      <c r="L39" s="14">
        <f>13-1</f>
        <v>12</v>
      </c>
      <c r="M39" s="49">
        <v>0</v>
      </c>
      <c r="N39" s="62">
        <f>ROUND((G39/H39),3)</f>
        <v>34.816</v>
      </c>
      <c r="O39" s="62">
        <f t="shared" si="1"/>
        <v>33.555</v>
      </c>
      <c r="P39" s="62">
        <f>C39/D39</f>
        <v>28.600897435897433</v>
      </c>
      <c r="Q39" s="74">
        <f>E39/F39</f>
        <v>50.93566666666666</v>
      </c>
    </row>
    <row r="40" spans="1:17" s="26" customFormat="1" ht="18.75" thickBot="1">
      <c r="A40" s="70">
        <v>28</v>
      </c>
      <c r="B40" s="71" t="s">
        <v>36</v>
      </c>
      <c r="C40" s="16">
        <f t="shared" si="15"/>
        <v>389.99</v>
      </c>
      <c r="D40" s="17">
        <f t="shared" si="15"/>
        <v>18</v>
      </c>
      <c r="E40" s="16">
        <f>57.912-12.753</f>
        <v>45.159</v>
      </c>
      <c r="F40" s="17">
        <f>2-1</f>
        <v>1</v>
      </c>
      <c r="G40" s="33">
        <v>0</v>
      </c>
      <c r="H40" s="34">
        <v>0</v>
      </c>
      <c r="I40" s="18">
        <f>241.383-6.531</f>
        <v>234.852</v>
      </c>
      <c r="J40" s="17">
        <f>9-1</f>
        <v>8</v>
      </c>
      <c r="K40" s="16">
        <v>109.979</v>
      </c>
      <c r="L40" s="17">
        <f>9</f>
        <v>9</v>
      </c>
      <c r="M40" s="47">
        <v>18.186</v>
      </c>
      <c r="N40" s="63" t="s">
        <v>67</v>
      </c>
      <c r="O40" s="62">
        <f t="shared" si="1"/>
        <v>29.357</v>
      </c>
      <c r="P40" s="62">
        <f>C40/D40</f>
        <v>21.66611111111111</v>
      </c>
      <c r="Q40" s="74">
        <f>E40/F40</f>
        <v>45.159</v>
      </c>
    </row>
    <row r="41" spans="1:17" s="26" customFormat="1" ht="18.75" thickBot="1">
      <c r="A41" s="57" t="s">
        <v>37</v>
      </c>
      <c r="B41" s="58"/>
      <c r="C41" s="9">
        <f>SUM(C37:C40)</f>
        <v>3595.9620000000004</v>
      </c>
      <c r="D41" s="10">
        <f aca="true" t="shared" si="16" ref="D41:Q41">SUM(D37:D40)</f>
        <v>126</v>
      </c>
      <c r="E41" s="9">
        <f t="shared" si="16"/>
        <v>530.707</v>
      </c>
      <c r="F41" s="10">
        <f t="shared" si="16"/>
        <v>11</v>
      </c>
      <c r="G41" s="9">
        <f t="shared" si="16"/>
        <v>2103.204</v>
      </c>
      <c r="H41" s="10">
        <f t="shared" si="16"/>
        <v>56</v>
      </c>
      <c r="I41" s="9">
        <f t="shared" si="16"/>
        <v>413.312</v>
      </c>
      <c r="J41" s="10">
        <f t="shared" si="16"/>
        <v>14</v>
      </c>
      <c r="K41" s="9">
        <f t="shared" si="16"/>
        <v>548.739</v>
      </c>
      <c r="L41" s="10">
        <f t="shared" si="16"/>
        <v>45</v>
      </c>
      <c r="M41" s="9">
        <f t="shared" si="16"/>
        <v>85.63</v>
      </c>
      <c r="N41" s="9">
        <f t="shared" si="16"/>
        <v>113.648</v>
      </c>
      <c r="O41" s="9">
        <f t="shared" si="16"/>
        <v>140.498</v>
      </c>
      <c r="P41" s="9">
        <f t="shared" si="16"/>
        <v>110.65247824397824</v>
      </c>
      <c r="Q41" s="75">
        <f t="shared" si="16"/>
        <v>189.92874999999998</v>
      </c>
    </row>
    <row r="42" spans="1:17" s="26" customFormat="1" ht="18">
      <c r="A42" s="67"/>
      <c r="B42" s="68" t="s">
        <v>38</v>
      </c>
      <c r="C42" s="43"/>
      <c r="D42" s="11"/>
      <c r="E42" s="12"/>
      <c r="F42" s="11"/>
      <c r="G42" s="80"/>
      <c r="H42" s="38"/>
      <c r="I42" s="39"/>
      <c r="J42" s="40"/>
      <c r="K42" s="37"/>
      <c r="L42" s="40"/>
      <c r="M42" s="48"/>
      <c r="N42" s="13"/>
      <c r="O42" s="62"/>
      <c r="P42" s="62"/>
      <c r="Q42" s="74"/>
    </row>
    <row r="43" spans="1:17" s="26" customFormat="1" ht="18">
      <c r="A43" s="65">
        <v>29</v>
      </c>
      <c r="B43" s="66" t="s">
        <v>39</v>
      </c>
      <c r="C43" s="16">
        <f>E43+G43+I43+K43</f>
        <v>2325.487</v>
      </c>
      <c r="D43" s="17">
        <f>F43+H43+J43+L43</f>
        <v>72</v>
      </c>
      <c r="E43" s="13">
        <v>306.268</v>
      </c>
      <c r="F43" s="14">
        <v>5</v>
      </c>
      <c r="G43" s="42">
        <f>1660.013+16.666</f>
        <v>1676.6789999999999</v>
      </c>
      <c r="H43" s="41">
        <v>41</v>
      </c>
      <c r="I43" s="15">
        <f>88.544-12.6</f>
        <v>75.944</v>
      </c>
      <c r="J43" s="14">
        <f>5-1</f>
        <v>4</v>
      </c>
      <c r="K43" s="13">
        <v>266.596</v>
      </c>
      <c r="L43" s="14">
        <v>22</v>
      </c>
      <c r="M43" s="49">
        <v>210.14</v>
      </c>
      <c r="N43" s="13">
        <f aca="true" t="shared" si="17" ref="N43:N51">ROUND((G43/H43),3)</f>
        <v>40.895</v>
      </c>
      <c r="O43" s="62">
        <f t="shared" si="1"/>
        <v>38.947</v>
      </c>
      <c r="P43" s="62">
        <f aca="true" t="shared" si="18" ref="P43:P51">C43/D43</f>
        <v>32.298430555555555</v>
      </c>
      <c r="Q43" s="74">
        <f aca="true" t="shared" si="19" ref="Q43:Q51">E43/F43</f>
        <v>61.25359999999999</v>
      </c>
    </row>
    <row r="44" spans="1:17" s="26" customFormat="1" ht="18">
      <c r="A44" s="65">
        <v>30</v>
      </c>
      <c r="B44" s="66" t="s">
        <v>40</v>
      </c>
      <c r="C44" s="16">
        <f aca="true" t="shared" si="20" ref="C44:C51">E44+G44+I44+K44</f>
        <v>1896.3700000000001</v>
      </c>
      <c r="D44" s="17">
        <f aca="true" t="shared" si="21" ref="D44:D51">F44+H44+J44+L44</f>
        <v>53</v>
      </c>
      <c r="E44" s="13">
        <v>280.334</v>
      </c>
      <c r="F44" s="14">
        <v>5</v>
      </c>
      <c r="G44" s="42">
        <v>1304.604</v>
      </c>
      <c r="H44" s="41">
        <v>29</v>
      </c>
      <c r="I44" s="15">
        <v>101.338</v>
      </c>
      <c r="J44" s="14">
        <v>3</v>
      </c>
      <c r="K44" s="13">
        <v>210.094</v>
      </c>
      <c r="L44" s="14">
        <v>16</v>
      </c>
      <c r="M44" s="49">
        <v>96.11</v>
      </c>
      <c r="N44" s="13">
        <f t="shared" si="17"/>
        <v>44.986</v>
      </c>
      <c r="O44" s="62">
        <f t="shared" si="1"/>
        <v>43.936</v>
      </c>
      <c r="P44" s="62">
        <f t="shared" si="18"/>
        <v>35.78056603773585</v>
      </c>
      <c r="Q44" s="74">
        <f t="shared" si="19"/>
        <v>56.0668</v>
      </c>
    </row>
    <row r="45" spans="1:17" s="26" customFormat="1" ht="18">
      <c r="A45" s="65">
        <v>31</v>
      </c>
      <c r="B45" s="69" t="s">
        <v>41</v>
      </c>
      <c r="C45" s="16">
        <f t="shared" si="20"/>
        <v>1901.175</v>
      </c>
      <c r="D45" s="17">
        <f t="shared" si="21"/>
        <v>59</v>
      </c>
      <c r="E45" s="13">
        <v>352.534</v>
      </c>
      <c r="F45" s="14">
        <v>5</v>
      </c>
      <c r="G45" s="42">
        <f>1132.103+21.28-90.538</f>
        <v>1062.845</v>
      </c>
      <c r="H45" s="41">
        <f>28-3</f>
        <v>25</v>
      </c>
      <c r="I45" s="15">
        <f>263.352-94.939</f>
        <v>168.41299999999998</v>
      </c>
      <c r="J45" s="14">
        <f>6-2</f>
        <v>4</v>
      </c>
      <c r="K45" s="13">
        <f>298.527+65.28-30.08-16.344</f>
        <v>317.38300000000004</v>
      </c>
      <c r="L45" s="14">
        <f>24+4-2-1</f>
        <v>25</v>
      </c>
      <c r="M45" s="49">
        <v>104</v>
      </c>
      <c r="N45" s="13">
        <f t="shared" si="17"/>
        <v>42.514</v>
      </c>
      <c r="O45" s="62">
        <f t="shared" si="1"/>
        <v>42.457</v>
      </c>
      <c r="P45" s="62">
        <f t="shared" si="18"/>
        <v>32.22330508474576</v>
      </c>
      <c r="Q45" s="74">
        <f t="shared" si="19"/>
        <v>70.5068</v>
      </c>
    </row>
    <row r="46" spans="1:17" s="26" customFormat="1" ht="18">
      <c r="A46" s="65">
        <v>32</v>
      </c>
      <c r="B46" s="66" t="s">
        <v>42</v>
      </c>
      <c r="C46" s="16">
        <f t="shared" si="20"/>
        <v>2274.453</v>
      </c>
      <c r="D46" s="17">
        <f t="shared" si="21"/>
        <v>83</v>
      </c>
      <c r="E46" s="13">
        <v>353.975</v>
      </c>
      <c r="F46" s="14">
        <v>8</v>
      </c>
      <c r="G46" s="42">
        <f>1496.378+20.843</f>
        <v>1517.221</v>
      </c>
      <c r="H46" s="41">
        <v>44</v>
      </c>
      <c r="I46" s="15">
        <v>95.707</v>
      </c>
      <c r="J46" s="14">
        <v>4</v>
      </c>
      <c r="K46" s="13">
        <v>307.55</v>
      </c>
      <c r="L46" s="14">
        <v>27</v>
      </c>
      <c r="M46" s="49">
        <v>74.24</v>
      </c>
      <c r="N46" s="13">
        <f t="shared" si="17"/>
        <v>34.482</v>
      </c>
      <c r="O46" s="62">
        <f t="shared" si="1"/>
        <v>33.603</v>
      </c>
      <c r="P46" s="62">
        <f t="shared" si="18"/>
        <v>27.403048192771085</v>
      </c>
      <c r="Q46" s="74">
        <f t="shared" si="19"/>
        <v>44.246875</v>
      </c>
    </row>
    <row r="47" spans="1:17" s="26" customFormat="1" ht="18">
      <c r="A47" s="65">
        <v>33</v>
      </c>
      <c r="B47" s="66" t="s">
        <v>43</v>
      </c>
      <c r="C47" s="16">
        <f t="shared" si="20"/>
        <v>2106.194</v>
      </c>
      <c r="D47" s="17">
        <f t="shared" si="21"/>
        <v>63</v>
      </c>
      <c r="E47" s="13">
        <v>318.715</v>
      </c>
      <c r="F47" s="14">
        <v>6</v>
      </c>
      <c r="G47" s="42">
        <v>1356.454</v>
      </c>
      <c r="H47" s="41">
        <v>32</v>
      </c>
      <c r="I47" s="15">
        <v>132.212</v>
      </c>
      <c r="J47" s="14">
        <v>4</v>
      </c>
      <c r="K47" s="13">
        <f>315.644-16.831</f>
        <v>298.813</v>
      </c>
      <c r="L47" s="14">
        <f>22-1</f>
        <v>21</v>
      </c>
      <c r="M47" s="49">
        <v>41.279</v>
      </c>
      <c r="N47" s="13">
        <f t="shared" si="17"/>
        <v>42.389</v>
      </c>
      <c r="O47" s="62">
        <f t="shared" si="1"/>
        <v>41.352</v>
      </c>
      <c r="P47" s="62">
        <f t="shared" si="18"/>
        <v>33.431650793650796</v>
      </c>
      <c r="Q47" s="74">
        <f t="shared" si="19"/>
        <v>53.119166666666665</v>
      </c>
    </row>
    <row r="48" spans="1:17" s="26" customFormat="1" ht="18">
      <c r="A48" s="65">
        <v>34</v>
      </c>
      <c r="B48" s="66" t="s">
        <v>44</v>
      </c>
      <c r="C48" s="16">
        <f t="shared" si="20"/>
        <v>1468.715</v>
      </c>
      <c r="D48" s="17">
        <f t="shared" si="21"/>
        <v>38</v>
      </c>
      <c r="E48" s="13">
        <v>458.415</v>
      </c>
      <c r="F48" s="14">
        <v>7</v>
      </c>
      <c r="G48" s="42">
        <v>835.857</v>
      </c>
      <c r="H48" s="41">
        <v>22</v>
      </c>
      <c r="I48" s="15">
        <v>0</v>
      </c>
      <c r="J48" s="14">
        <v>0</v>
      </c>
      <c r="K48" s="13">
        <f>186.443-12</f>
        <v>174.443</v>
      </c>
      <c r="L48" s="14">
        <f>10-1</f>
        <v>9</v>
      </c>
      <c r="M48" s="49">
        <v>89.54</v>
      </c>
      <c r="N48" s="13">
        <f t="shared" si="17"/>
        <v>37.994</v>
      </c>
      <c r="O48" s="62">
        <f t="shared" si="1"/>
        <v>37.994</v>
      </c>
      <c r="P48" s="62">
        <f t="shared" si="18"/>
        <v>38.6503947368421</v>
      </c>
      <c r="Q48" s="74">
        <f t="shared" si="19"/>
        <v>65.48785714285715</v>
      </c>
    </row>
    <row r="49" spans="1:17" s="26" customFormat="1" ht="18">
      <c r="A49" s="65">
        <v>35</v>
      </c>
      <c r="B49" s="66" t="s">
        <v>45</v>
      </c>
      <c r="C49" s="16">
        <f t="shared" si="20"/>
        <v>1544.836</v>
      </c>
      <c r="D49" s="17">
        <f t="shared" si="21"/>
        <v>46</v>
      </c>
      <c r="E49" s="13">
        <v>406.665</v>
      </c>
      <c r="F49" s="14">
        <v>6</v>
      </c>
      <c r="G49" s="42">
        <f>913.817-13.545</f>
        <v>900.272</v>
      </c>
      <c r="H49" s="41">
        <f>22-1</f>
        <v>21</v>
      </c>
      <c r="I49" s="15">
        <f>73.168-28.819</f>
        <v>44.349000000000004</v>
      </c>
      <c r="J49" s="14">
        <f>5-2</f>
        <v>3</v>
      </c>
      <c r="K49" s="13">
        <v>193.55</v>
      </c>
      <c r="L49" s="14">
        <v>16</v>
      </c>
      <c r="M49" s="49">
        <v>124.356</v>
      </c>
      <c r="N49" s="13">
        <f t="shared" si="17"/>
        <v>42.87</v>
      </c>
      <c r="O49" s="62">
        <f t="shared" si="1"/>
        <v>39.359</v>
      </c>
      <c r="P49" s="62">
        <f t="shared" si="18"/>
        <v>33.58339130434783</v>
      </c>
      <c r="Q49" s="74">
        <f t="shared" si="19"/>
        <v>67.7775</v>
      </c>
    </row>
    <row r="50" spans="1:17" s="26" customFormat="1" ht="18">
      <c r="A50" s="65">
        <v>36</v>
      </c>
      <c r="B50" s="66" t="s">
        <v>46</v>
      </c>
      <c r="C50" s="16">
        <f t="shared" si="20"/>
        <v>2728.298</v>
      </c>
      <c r="D50" s="17">
        <f t="shared" si="21"/>
        <v>70</v>
      </c>
      <c r="E50" s="13">
        <v>408.243</v>
      </c>
      <c r="F50" s="14">
        <v>8</v>
      </c>
      <c r="G50" s="42">
        <v>1893.697</v>
      </c>
      <c r="H50" s="41">
        <v>39</v>
      </c>
      <c r="I50" s="15">
        <v>112.147</v>
      </c>
      <c r="J50" s="14">
        <v>2</v>
      </c>
      <c r="K50" s="13">
        <f>327.516-13.305</f>
        <v>314.211</v>
      </c>
      <c r="L50" s="14">
        <f>23-2</f>
        <v>21</v>
      </c>
      <c r="M50" s="49">
        <v>36.257</v>
      </c>
      <c r="N50" s="13">
        <f t="shared" si="17"/>
        <v>48.556</v>
      </c>
      <c r="O50" s="62">
        <f t="shared" si="1"/>
        <v>48.923</v>
      </c>
      <c r="P50" s="62">
        <f t="shared" si="18"/>
        <v>38.97568571428571</v>
      </c>
      <c r="Q50" s="74">
        <f t="shared" si="19"/>
        <v>51.030375</v>
      </c>
    </row>
    <row r="51" spans="1:17" s="26" customFormat="1" ht="18.75" thickBot="1">
      <c r="A51" s="70">
        <v>37</v>
      </c>
      <c r="B51" s="71" t="s">
        <v>47</v>
      </c>
      <c r="C51" s="16">
        <f t="shared" si="20"/>
        <v>1910.904</v>
      </c>
      <c r="D51" s="17">
        <f t="shared" si="21"/>
        <v>52</v>
      </c>
      <c r="E51" s="16">
        <v>304.063</v>
      </c>
      <c r="F51" s="17">
        <v>5</v>
      </c>
      <c r="G51" s="33">
        <f>1327.901+20.618-34.596</f>
        <v>1313.923</v>
      </c>
      <c r="H51" s="34">
        <f>31-2</f>
        <v>29</v>
      </c>
      <c r="I51" s="18">
        <v>100.515</v>
      </c>
      <c r="J51" s="17">
        <v>5</v>
      </c>
      <c r="K51" s="16">
        <v>192.403</v>
      </c>
      <c r="L51" s="17">
        <v>13</v>
      </c>
      <c r="M51" s="47">
        <v>164.997</v>
      </c>
      <c r="N51" s="13">
        <f t="shared" si="17"/>
        <v>45.308</v>
      </c>
      <c r="O51" s="62">
        <f t="shared" si="1"/>
        <v>41.601</v>
      </c>
      <c r="P51" s="62">
        <f t="shared" si="18"/>
        <v>36.74815384615385</v>
      </c>
      <c r="Q51" s="74">
        <f t="shared" si="19"/>
        <v>60.812599999999996</v>
      </c>
    </row>
    <row r="52" spans="1:17" s="26" customFormat="1" ht="18.75" thickBot="1">
      <c r="A52" s="57" t="s">
        <v>48</v>
      </c>
      <c r="B52" s="58"/>
      <c r="C52" s="9">
        <f>SUM(C43:C51)</f>
        <v>18156.431999999997</v>
      </c>
      <c r="D52" s="10">
        <f aca="true" t="shared" si="22" ref="D52:Q52">SUM(D43:D51)</f>
        <v>536</v>
      </c>
      <c r="E52" s="9">
        <f t="shared" si="22"/>
        <v>3189.212</v>
      </c>
      <c r="F52" s="10">
        <f t="shared" si="22"/>
        <v>55</v>
      </c>
      <c r="G52" s="9">
        <f t="shared" si="22"/>
        <v>11861.552000000001</v>
      </c>
      <c r="H52" s="10">
        <f t="shared" si="22"/>
        <v>282</v>
      </c>
      <c r="I52" s="9">
        <f t="shared" si="22"/>
        <v>830.625</v>
      </c>
      <c r="J52" s="10">
        <f t="shared" si="22"/>
        <v>29</v>
      </c>
      <c r="K52" s="9">
        <f t="shared" si="22"/>
        <v>2275.043</v>
      </c>
      <c r="L52" s="10">
        <f t="shared" si="22"/>
        <v>170</v>
      </c>
      <c r="M52" s="9">
        <f t="shared" si="22"/>
        <v>940.9189999999999</v>
      </c>
      <c r="N52" s="9">
        <f t="shared" si="22"/>
        <v>379.99399999999997</v>
      </c>
      <c r="O52" s="9">
        <f t="shared" si="22"/>
        <v>368.172</v>
      </c>
      <c r="P52" s="9">
        <f t="shared" si="22"/>
        <v>309.09462626608854</v>
      </c>
      <c r="Q52" s="75">
        <f t="shared" si="22"/>
        <v>530.3015738095238</v>
      </c>
    </row>
    <row r="53" spans="1:17" s="26" customFormat="1" ht="18.75" thickBot="1">
      <c r="A53" s="57" t="s">
        <v>49</v>
      </c>
      <c r="B53" s="58"/>
      <c r="C53" s="9">
        <f>C41+C52</f>
        <v>21752.393999999997</v>
      </c>
      <c r="D53" s="10">
        <f aca="true" t="shared" si="23" ref="D53:Q53">D41+D52</f>
        <v>662</v>
      </c>
      <c r="E53" s="9">
        <f t="shared" si="23"/>
        <v>3719.919</v>
      </c>
      <c r="F53" s="10">
        <f t="shared" si="23"/>
        <v>66</v>
      </c>
      <c r="G53" s="9">
        <f t="shared" si="23"/>
        <v>13964.756000000001</v>
      </c>
      <c r="H53" s="10">
        <f t="shared" si="23"/>
        <v>338</v>
      </c>
      <c r="I53" s="9">
        <f t="shared" si="23"/>
        <v>1243.937</v>
      </c>
      <c r="J53" s="10">
        <f t="shared" si="23"/>
        <v>43</v>
      </c>
      <c r="K53" s="9">
        <f t="shared" si="23"/>
        <v>2823.782</v>
      </c>
      <c r="L53" s="10">
        <f t="shared" si="23"/>
        <v>215</v>
      </c>
      <c r="M53" s="9">
        <f t="shared" si="23"/>
        <v>1026.549</v>
      </c>
      <c r="N53" s="9">
        <f t="shared" si="23"/>
        <v>493.64199999999994</v>
      </c>
      <c r="O53" s="9">
        <f t="shared" si="23"/>
        <v>508.67</v>
      </c>
      <c r="P53" s="9">
        <f t="shared" si="23"/>
        <v>419.7471045100668</v>
      </c>
      <c r="Q53" s="75">
        <f t="shared" si="23"/>
        <v>720.2303238095237</v>
      </c>
    </row>
    <row r="54" spans="1:17" s="19" customFormat="1" ht="18.75" thickBot="1">
      <c r="A54" s="59">
        <v>38</v>
      </c>
      <c r="B54" s="60" t="s">
        <v>50</v>
      </c>
      <c r="C54" s="16">
        <f>E54+G54+I54+K54</f>
        <v>2600.081</v>
      </c>
      <c r="D54" s="17">
        <f>F54+H54+J54+L54</f>
        <v>74</v>
      </c>
      <c r="E54" s="23">
        <v>388.457</v>
      </c>
      <c r="F54" s="24">
        <v>6</v>
      </c>
      <c r="G54" s="81">
        <v>659.427</v>
      </c>
      <c r="H54" s="44">
        <v>13</v>
      </c>
      <c r="I54" s="25">
        <f>745.946-24.5</f>
        <v>721.446</v>
      </c>
      <c r="J54" s="24">
        <f>18-1</f>
        <v>17</v>
      </c>
      <c r="K54" s="23">
        <f>998.051-167.3</f>
        <v>830.751</v>
      </c>
      <c r="L54" s="24">
        <f>44-6</f>
        <v>38</v>
      </c>
      <c r="M54" s="50">
        <v>403.21</v>
      </c>
      <c r="N54" s="62">
        <f>ROUND((G54/H54),3)</f>
        <v>50.725</v>
      </c>
      <c r="O54" s="62">
        <f t="shared" si="1"/>
        <v>46.029</v>
      </c>
      <c r="P54" s="62">
        <f>C54/D54</f>
        <v>35.136229729729735</v>
      </c>
      <c r="Q54" s="74">
        <f>E54/F54</f>
        <v>64.74283333333334</v>
      </c>
    </row>
    <row r="55" spans="1:17" s="26" customFormat="1" ht="18.75" thickBot="1">
      <c r="A55" s="104" t="s">
        <v>51</v>
      </c>
      <c r="B55" s="105"/>
      <c r="C55" s="9">
        <f>C35+C53+C54</f>
        <v>50302.373</v>
      </c>
      <c r="D55" s="10">
        <f aca="true" t="shared" si="24" ref="D55:M55">D35+D53+D54</f>
        <v>1462</v>
      </c>
      <c r="E55" s="9">
        <f t="shared" si="24"/>
        <v>7673.907999999999</v>
      </c>
      <c r="F55" s="10">
        <f t="shared" si="24"/>
        <v>134</v>
      </c>
      <c r="G55" s="9">
        <f t="shared" si="24"/>
        <v>32612.286000000004</v>
      </c>
      <c r="H55" s="10">
        <f t="shared" si="24"/>
        <v>741</v>
      </c>
      <c r="I55" s="9">
        <f t="shared" si="24"/>
        <v>3547.246</v>
      </c>
      <c r="J55" s="10">
        <f t="shared" si="24"/>
        <v>110</v>
      </c>
      <c r="K55" s="9">
        <f t="shared" si="24"/>
        <v>6468.933000000001</v>
      </c>
      <c r="L55" s="10">
        <f t="shared" si="24"/>
        <v>477</v>
      </c>
      <c r="M55" s="9">
        <f t="shared" si="24"/>
        <v>2685.175</v>
      </c>
      <c r="N55" s="9">
        <f>N35+N53+N54</f>
        <v>1670.138</v>
      </c>
      <c r="O55" s="9">
        <f>O35+O53+O54</f>
        <v>1636.4250000000002</v>
      </c>
      <c r="P55" s="9">
        <f>P35+P53+P54</f>
        <v>1258.7034781709817</v>
      </c>
      <c r="Q55" s="9">
        <f>Q35+Q53+Q54</f>
        <v>2121.4404071428567</v>
      </c>
    </row>
    <row r="57" ht="18.75" thickBot="1"/>
    <row r="58" spans="1:17" ht="18.75" thickBot="1">
      <c r="A58" s="87"/>
      <c r="B58" s="88" t="s">
        <v>72</v>
      </c>
      <c r="C58" s="89"/>
      <c r="D58" s="90"/>
      <c r="E58" s="91"/>
      <c r="F58" s="90"/>
      <c r="G58" s="106"/>
      <c r="H58" s="106"/>
      <c r="I58" s="92"/>
      <c r="J58" s="93"/>
      <c r="K58" s="92"/>
      <c r="L58" s="93"/>
      <c r="M58" s="92"/>
      <c r="N58" s="94">
        <f>G55/H55</f>
        <v>44.01118218623482</v>
      </c>
      <c r="O58" s="95">
        <f>ROUND((G55+I55)/(H55+J55),3)</f>
        <v>42.491</v>
      </c>
      <c r="P58" s="95">
        <f>C55/D55</f>
        <v>34.406547879616966</v>
      </c>
      <c r="Q58" s="96">
        <f>E55/F55</f>
        <v>57.26797014925373</v>
      </c>
    </row>
    <row r="59" spans="1:17" s="26" customFormat="1" ht="18">
      <c r="A59" s="19"/>
      <c r="B59" s="45"/>
      <c r="C59" s="77"/>
      <c r="D59" s="20"/>
      <c r="E59" s="21"/>
      <c r="F59" s="20"/>
      <c r="G59" s="97"/>
      <c r="H59" s="97"/>
      <c r="I59" s="35"/>
      <c r="J59" s="46"/>
      <c r="K59" s="35"/>
      <c r="L59" s="46"/>
      <c r="M59" s="35"/>
      <c r="N59" s="98"/>
      <c r="O59" s="98"/>
      <c r="P59" s="98"/>
      <c r="Q59" s="98"/>
    </row>
    <row r="60" spans="2:4" ht="18">
      <c r="B60" s="28"/>
      <c r="C60" s="56"/>
      <c r="D60" s="22"/>
    </row>
    <row r="61" ht="18">
      <c r="B61" s="26" t="s">
        <v>66</v>
      </c>
    </row>
    <row r="62" ht="18">
      <c r="B62" s="26" t="s">
        <v>73</v>
      </c>
    </row>
    <row r="64" spans="3:7" ht="18">
      <c r="C64" s="56"/>
      <c r="D64" s="22"/>
      <c r="E64" s="56"/>
      <c r="F64" s="22"/>
      <c r="G64" s="78"/>
    </row>
  </sheetData>
  <sheetProtection/>
  <mergeCells count="5">
    <mergeCell ref="A7:B7"/>
    <mergeCell ref="A8:B8"/>
    <mergeCell ref="A55:B55"/>
    <mergeCell ref="G58:H58"/>
    <mergeCell ref="C1:L1"/>
  </mergeCells>
  <printOptions/>
  <pageMargins left="0" right="0" top="0" bottom="0" header="0.31496062992125984" footer="0.31496062992125984"/>
  <pageSetup fitToWidth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2014-10-08T11:46:15Z</dcterms:modified>
  <cp:category/>
  <cp:version/>
  <cp:contentType/>
  <cp:contentStatus/>
</cp:coreProperties>
</file>