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Print_Titles" localSheetId="0">'Лист1'!$A:$B,'Лист1'!$5:$5</definedName>
    <definedName name="_xlnm.Print_Area" localSheetId="0">'Лист1'!$A$1:$W$69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<sst xmlns="http://schemas.openxmlformats.org/spreadsheetml/2006/main" count="85" uniqueCount="83">
  <si>
    <t>№
 п.п.</t>
  </si>
  <si>
    <t>Образовательное
 учреждение</t>
  </si>
  <si>
    <t>Школа-детсад № 1</t>
  </si>
  <si>
    <t>Итого нач.шк.</t>
  </si>
  <si>
    <t>Основные школы сел.</t>
  </si>
  <si>
    <t>Абрамовская</t>
  </si>
  <si>
    <t>Анциферовская</t>
  </si>
  <si>
    <t>Войново-Горская</t>
  </si>
  <si>
    <t>Горская</t>
  </si>
  <si>
    <t>Заволенская</t>
  </si>
  <si>
    <t>Мисцевская № 1</t>
  </si>
  <si>
    <t>Мисцевская № 2</t>
  </si>
  <si>
    <t>Ново-Снопковская</t>
  </si>
  <si>
    <t>Юркинская</t>
  </si>
  <si>
    <t>Итого основн.шк.сельск.</t>
  </si>
  <si>
    <t>Средние школы сельск.</t>
  </si>
  <si>
    <t>Авсюнинская</t>
  </si>
  <si>
    <t>Верейская</t>
  </si>
  <si>
    <t>Губинская</t>
  </si>
  <si>
    <t>Запутновская</t>
  </si>
  <si>
    <t>Ильинская</t>
  </si>
  <si>
    <t>Кабановская</t>
  </si>
  <si>
    <t>Малодубенская</t>
  </si>
  <si>
    <t>Новинская</t>
  </si>
  <si>
    <t>Озерецкая</t>
  </si>
  <si>
    <t>Соболевская</t>
  </si>
  <si>
    <t>Давыдовская гимназия</t>
  </si>
  <si>
    <t>Давыдовский лицей</t>
  </si>
  <si>
    <t>Демиховская</t>
  </si>
  <si>
    <t>Щетиновская</t>
  </si>
  <si>
    <t>Итого средние школы сельск.</t>
  </si>
  <si>
    <t>ВСЕГО сельские</t>
  </si>
  <si>
    <t>Основные шк. городские</t>
  </si>
  <si>
    <t>Ликино-Дулевская № 2</t>
  </si>
  <si>
    <t>Ликино-Дулевская № 3</t>
  </si>
  <si>
    <t>Ликино-Дулевская № 4</t>
  </si>
  <si>
    <t>ЦППРиК</t>
  </si>
  <si>
    <t>Итого основн.шк. городск.</t>
  </si>
  <si>
    <t>Средние шк. городские</t>
  </si>
  <si>
    <t>Дрезненская № 1</t>
  </si>
  <si>
    <t>Дрезненская № 2(гимназия)</t>
  </si>
  <si>
    <t>Куровская № 1</t>
  </si>
  <si>
    <t>Куровская № 2</t>
  </si>
  <si>
    <t>Куровская № 6</t>
  </si>
  <si>
    <t>Куровская гимназия</t>
  </si>
  <si>
    <t>Ликино-Дулевская гимназ.</t>
  </si>
  <si>
    <t>Ликино-Дулевская лицей</t>
  </si>
  <si>
    <t>Ликино-Дулевкая № 5</t>
  </si>
  <si>
    <t>Итого средние шк. Городские</t>
  </si>
  <si>
    <t>ВСЕГО городские</t>
  </si>
  <si>
    <t>Ильинский интернат</t>
  </si>
  <si>
    <t>ВСЕГО школы</t>
  </si>
  <si>
    <t>ФОТ  ОУ (тыс.руб.)</t>
  </si>
  <si>
    <t>суммарное число работников ОУ
 (чел.)</t>
  </si>
  <si>
    <t>ФОТ (директор,заместители директора) (тыс.руб.)</t>
  </si>
  <si>
    <t>суммарное число работников (директор,заместители директора) (чел.)</t>
  </si>
  <si>
    <t>ФОТ учителей (высшая категория) (тыс.руб.)</t>
  </si>
  <si>
    <t>суммарное число учителей (высшая категория) (чел.)</t>
  </si>
  <si>
    <t>ФОТ учителей (первая категория) (тыс.руб.)</t>
  </si>
  <si>
    <t>суммарное число учителей (первая категория) (чел.)</t>
  </si>
  <si>
    <t>ФОТ учителей (без категории) (тыс.руб.)</t>
  </si>
  <si>
    <t>суммарное число учителей (без категории) (чел.)</t>
  </si>
  <si>
    <t>ФОТ (прочие пед.работники) (тыс.руб.)</t>
  </si>
  <si>
    <t>суммарное число (прочие пед.работники) (чел.)</t>
  </si>
  <si>
    <t>ФОТ (прочий обслуж.персонал) (тыс.руб.)</t>
  </si>
  <si>
    <t>суммарное число (прочий обслуж.персонал) (чел.)</t>
  </si>
  <si>
    <t>объем стимул.выплат работникам ОУ (тыс.руб.)</t>
  </si>
  <si>
    <t>ФОТ учителей Всего без совместителей</t>
  </si>
  <si>
    <t>Примечание:</t>
  </si>
  <si>
    <t xml:space="preserve">информация по должности (заведующий библиотекой) отражена в графах № 17, № 18) </t>
  </si>
  <si>
    <t>по недостающей информации обращаться к бухгалтеру-расчетчику</t>
  </si>
  <si>
    <t>Общая численность учителей (без совместителей)</t>
  </si>
  <si>
    <t>Исполнитель: Киркиж Л.И. ( 8 496 161-830)</t>
  </si>
  <si>
    <t>учителя (без Демих, интерн, ППРиК)</t>
  </si>
  <si>
    <t>все педаг.работники</t>
  </si>
  <si>
    <t>х</t>
  </si>
  <si>
    <t>средняя зараб.плата руководилей</t>
  </si>
  <si>
    <t>средняя зараб.плата  учителя</t>
  </si>
  <si>
    <t>средняя зараб.плата пед. Работников</t>
  </si>
  <si>
    <t>средняя зараб.плата по учреждению</t>
  </si>
  <si>
    <t xml:space="preserve"> Орехово-Зуевский район 
информация для заполнения мониторинга за март 2014 года   (в тыс.руб)
(Информация дана без дошкольных отделений, без совместителей)</t>
  </si>
  <si>
    <t>Дата: 07.04.2014</t>
  </si>
  <si>
    <t>По Ильинской СОШ обращаться к расчетчику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</si>
</sst>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/>
    </xf>
    <xf numFmtId="1" fontId="40" fillId="0" borderId="0" xfId="0" applyNumberFormat="1" applyFont="1" applyFill="1" applyBorder="1" applyAlignment="1">
      <alignment/>
    </xf>
    <xf numFmtId="164" fontId="40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2" fillId="0" borderId="16" xfId="0" applyNumberFormat="1" applyFon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1" fontId="2" fillId="0" borderId="17" xfId="0" applyNumberFormat="1" applyFont="1" applyFill="1" applyBorder="1" applyAlignment="1">
      <alignment/>
    </xf>
    <xf numFmtId="1" fontId="2" fillId="0" borderId="18" xfId="0" applyNumberFormat="1" applyFont="1" applyFill="1" applyBorder="1" applyAlignment="1">
      <alignment/>
    </xf>
    <xf numFmtId="1" fontId="2" fillId="0" borderId="19" xfId="0" applyNumberFormat="1" applyFont="1" applyFill="1" applyBorder="1" applyAlignment="1">
      <alignment horizontal="right"/>
    </xf>
    <xf numFmtId="1" fontId="2" fillId="0" borderId="20" xfId="0" applyNumberFormat="1" applyFont="1" applyFill="1" applyBorder="1" applyAlignment="1">
      <alignment/>
    </xf>
    <xf numFmtId="1" fontId="3" fillId="0" borderId="21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1" fontId="3" fillId="0" borderId="23" xfId="0" applyNumberFormat="1" applyFont="1" applyFill="1" applyBorder="1" applyAlignment="1">
      <alignment/>
    </xf>
    <xf numFmtId="164" fontId="3" fillId="0" borderId="24" xfId="0" applyNumberFormat="1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164" fontId="2" fillId="0" borderId="18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19" borderId="0" xfId="0" applyFont="1" applyFill="1" applyBorder="1" applyAlignment="1">
      <alignment/>
    </xf>
    <xf numFmtId="1" fontId="3" fillId="19" borderId="0" xfId="0" applyNumberFormat="1" applyFont="1" applyFill="1" applyBorder="1" applyAlignment="1">
      <alignment/>
    </xf>
    <xf numFmtId="164" fontId="3" fillId="19" borderId="0" xfId="0" applyNumberFormat="1" applyFont="1" applyFill="1" applyBorder="1" applyAlignment="1">
      <alignment/>
    </xf>
    <xf numFmtId="1" fontId="41" fillId="0" borderId="0" xfId="0" applyNumberFormat="1" applyFont="1" applyFill="1" applyBorder="1" applyAlignment="1">
      <alignment/>
    </xf>
    <xf numFmtId="0" fontId="3" fillId="18" borderId="0" xfId="0" applyFont="1" applyFill="1" applyBorder="1" applyAlignment="1">
      <alignment/>
    </xf>
    <xf numFmtId="1" fontId="41" fillId="18" borderId="0" xfId="0" applyNumberFormat="1" applyFont="1" applyFill="1" applyBorder="1" applyAlignment="1">
      <alignment/>
    </xf>
    <xf numFmtId="164" fontId="3" fillId="18" borderId="0" xfId="0" applyNumberFormat="1" applyFont="1" applyFill="1" applyBorder="1" applyAlignment="1">
      <alignment/>
    </xf>
    <xf numFmtId="1" fontId="3" fillId="18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 wrapText="1"/>
    </xf>
    <xf numFmtId="1" fontId="3" fillId="0" borderId="25" xfId="0" applyNumberFormat="1" applyFont="1" applyBorder="1" applyAlignment="1">
      <alignment horizontal="right"/>
    </xf>
    <xf numFmtId="1" fontId="2" fillId="0" borderId="0" xfId="0" applyNumberFormat="1" applyFont="1" applyFill="1" applyBorder="1" applyAlignment="1">
      <alignment wrapText="1"/>
    </xf>
    <xf numFmtId="1" fontId="3" fillId="0" borderId="13" xfId="0" applyNumberFormat="1" applyFont="1" applyBorder="1" applyAlignment="1">
      <alignment horizontal="center"/>
    </xf>
    <xf numFmtId="164" fontId="3" fillId="0" borderId="26" xfId="0" applyNumberFormat="1" applyFont="1" applyFill="1" applyBorder="1" applyAlignment="1">
      <alignment/>
    </xf>
    <xf numFmtId="1" fontId="3" fillId="0" borderId="26" xfId="0" applyNumberFormat="1" applyFont="1" applyFill="1" applyBorder="1" applyAlignment="1">
      <alignment/>
    </xf>
    <xf numFmtId="1" fontId="3" fillId="0" borderId="27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Border="1" applyAlignment="1">
      <alignment/>
    </xf>
    <xf numFmtId="1" fontId="41" fillId="0" borderId="0" xfId="0" applyNumberFormat="1" applyFont="1" applyBorder="1" applyAlignment="1">
      <alignment/>
    </xf>
    <xf numFmtId="1" fontId="42" fillId="0" borderId="0" xfId="0" applyNumberFormat="1" applyFont="1" applyBorder="1" applyAlignment="1">
      <alignment/>
    </xf>
    <xf numFmtId="164" fontId="42" fillId="0" borderId="0" xfId="0" applyNumberFormat="1" applyFont="1" applyBorder="1" applyAlignment="1">
      <alignment/>
    </xf>
    <xf numFmtId="0" fontId="42" fillId="0" borderId="0" xfId="0" applyFont="1" applyFill="1" applyBorder="1" applyAlignment="1">
      <alignment vertical="center" wrapText="1"/>
    </xf>
    <xf numFmtId="164" fontId="42" fillId="0" borderId="29" xfId="0" applyNumberFormat="1" applyFont="1" applyFill="1" applyBorder="1" applyAlignment="1">
      <alignment horizontal="right"/>
    </xf>
    <xf numFmtId="1" fontId="42" fillId="0" borderId="30" xfId="0" applyNumberFormat="1" applyFont="1" applyFill="1" applyBorder="1" applyAlignment="1">
      <alignment horizontal="right"/>
    </xf>
    <xf numFmtId="164" fontId="42" fillId="0" borderId="0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 horizontal="center"/>
    </xf>
    <xf numFmtId="164" fontId="42" fillId="0" borderId="21" xfId="0" applyNumberFormat="1" applyFont="1" applyFill="1" applyBorder="1" applyAlignment="1">
      <alignment/>
    </xf>
    <xf numFmtId="0" fontId="42" fillId="0" borderId="21" xfId="0" applyFont="1" applyFill="1" applyBorder="1" applyAlignment="1">
      <alignment/>
    </xf>
    <xf numFmtId="0" fontId="42" fillId="0" borderId="31" xfId="0" applyFont="1" applyFill="1" applyBorder="1" applyAlignment="1">
      <alignment/>
    </xf>
    <xf numFmtId="0" fontId="42" fillId="0" borderId="32" xfId="0" applyFont="1" applyFill="1" applyBorder="1" applyAlignment="1">
      <alignment horizontal="center"/>
    </xf>
    <xf numFmtId="1" fontId="42" fillId="0" borderId="33" xfId="0" applyNumberFormat="1" applyFont="1" applyFill="1" applyBorder="1" applyAlignment="1">
      <alignment horizontal="right"/>
    </xf>
    <xf numFmtId="164" fontId="42" fillId="0" borderId="34" xfId="0" applyNumberFormat="1" applyFont="1" applyFill="1" applyBorder="1" applyAlignment="1">
      <alignment/>
    </xf>
    <xf numFmtId="1" fontId="42" fillId="0" borderId="21" xfId="0" applyNumberFormat="1" applyFont="1" applyFill="1" applyBorder="1" applyAlignment="1">
      <alignment/>
    </xf>
    <xf numFmtId="1" fontId="42" fillId="0" borderId="13" xfId="0" applyNumberFormat="1" applyFont="1" applyFill="1" applyBorder="1" applyAlignment="1">
      <alignment/>
    </xf>
    <xf numFmtId="0" fontId="42" fillId="0" borderId="12" xfId="0" applyFont="1" applyFill="1" applyBorder="1" applyAlignment="1">
      <alignment horizontal="right"/>
    </xf>
    <xf numFmtId="1" fontId="42" fillId="0" borderId="25" xfId="0" applyNumberFormat="1" applyFont="1" applyFill="1" applyBorder="1" applyAlignment="1">
      <alignment horizontal="right"/>
    </xf>
    <xf numFmtId="164" fontId="43" fillId="0" borderId="0" xfId="0" applyNumberFormat="1" applyFont="1" applyFill="1" applyBorder="1" applyAlignment="1">
      <alignment/>
    </xf>
    <xf numFmtId="164" fontId="42" fillId="0" borderId="12" xfId="0" applyNumberFormat="1" applyFont="1" applyFill="1" applyBorder="1" applyAlignment="1">
      <alignment horizontal="right"/>
    </xf>
    <xf numFmtId="1" fontId="42" fillId="0" borderId="22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0" fontId="42" fillId="0" borderId="29" xfId="0" applyFont="1" applyFill="1" applyBorder="1" applyAlignment="1">
      <alignment horizontal="right"/>
    </xf>
    <xf numFmtId="0" fontId="42" fillId="0" borderId="35" xfId="0" applyFont="1" applyFill="1" applyBorder="1" applyAlignment="1">
      <alignment horizontal="right"/>
    </xf>
    <xf numFmtId="1" fontId="42" fillId="0" borderId="36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/>
    </xf>
    <xf numFmtId="0" fontId="42" fillId="19" borderId="0" xfId="0" applyFont="1" applyFill="1" applyBorder="1" applyAlignment="1">
      <alignment/>
    </xf>
    <xf numFmtId="164" fontId="42" fillId="19" borderId="0" xfId="0" applyNumberFormat="1" applyFont="1" applyFill="1" applyBorder="1" applyAlignment="1">
      <alignment/>
    </xf>
    <xf numFmtId="1" fontId="42" fillId="19" borderId="0" xfId="0" applyNumberFormat="1" applyFont="1" applyFill="1" applyBorder="1" applyAlignment="1">
      <alignment/>
    </xf>
    <xf numFmtId="1" fontId="42" fillId="0" borderId="0" xfId="0" applyNumberFormat="1" applyFont="1" applyFill="1" applyBorder="1" applyAlignment="1">
      <alignment/>
    </xf>
    <xf numFmtId="0" fontId="41" fillId="18" borderId="0" xfId="0" applyFont="1" applyFill="1" applyBorder="1" applyAlignment="1">
      <alignment/>
    </xf>
    <xf numFmtId="0" fontId="42" fillId="18" borderId="0" xfId="0" applyFont="1" applyFill="1" applyBorder="1" applyAlignment="1">
      <alignment/>
    </xf>
    <xf numFmtId="164" fontId="42" fillId="18" borderId="0" xfId="0" applyNumberFormat="1" applyFont="1" applyFill="1" applyBorder="1" applyAlignment="1">
      <alignment/>
    </xf>
    <xf numFmtId="1" fontId="42" fillId="18" borderId="0" xfId="0" applyNumberFormat="1" applyFont="1" applyFill="1" applyBorder="1" applyAlignment="1">
      <alignment/>
    </xf>
    <xf numFmtId="164" fontId="3" fillId="0" borderId="23" xfId="0" applyNumberFormat="1" applyFont="1" applyFill="1" applyBorder="1" applyAlignment="1">
      <alignment/>
    </xf>
    <xf numFmtId="164" fontId="42" fillId="0" borderId="31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2" fillId="16" borderId="11" xfId="0" applyFont="1" applyFill="1" applyBorder="1" applyAlignment="1">
      <alignment horizontal="center" wrapText="1"/>
    </xf>
    <xf numFmtId="1" fontId="2" fillId="16" borderId="11" xfId="0" applyNumberFormat="1" applyFont="1" applyFill="1" applyBorder="1" applyAlignment="1">
      <alignment horizontal="center" vertical="center" wrapText="1"/>
    </xf>
    <xf numFmtId="164" fontId="2" fillId="16" borderId="11" xfId="0" applyNumberFormat="1" applyFont="1" applyFill="1" applyBorder="1" applyAlignment="1">
      <alignment horizontal="center" wrapText="1"/>
    </xf>
    <xf numFmtId="1" fontId="2" fillId="16" borderId="11" xfId="0" applyNumberFormat="1" applyFont="1" applyFill="1" applyBorder="1" applyAlignment="1">
      <alignment horizontal="center" wrapText="1"/>
    </xf>
    <xf numFmtId="0" fontId="2" fillId="16" borderId="37" xfId="0" applyFont="1" applyFill="1" applyBorder="1" applyAlignment="1">
      <alignment horizontal="center" wrapText="1"/>
    </xf>
    <xf numFmtId="0" fontId="2" fillId="16" borderId="10" xfId="0" applyFont="1" applyFill="1" applyBorder="1" applyAlignment="1">
      <alignment horizontal="center" wrapText="1"/>
    </xf>
    <xf numFmtId="1" fontId="2" fillId="16" borderId="38" xfId="0" applyNumberFormat="1" applyFont="1" applyFill="1" applyBorder="1" applyAlignment="1">
      <alignment horizontal="center" wrapText="1"/>
    </xf>
    <xf numFmtId="0" fontId="2" fillId="16" borderId="39" xfId="0" applyFont="1" applyFill="1" applyBorder="1" applyAlignment="1">
      <alignment horizontal="center" wrapText="1"/>
    </xf>
    <xf numFmtId="164" fontId="2" fillId="13" borderId="0" xfId="0" applyNumberFormat="1" applyFont="1" applyFill="1" applyBorder="1" applyAlignment="1">
      <alignment wrapText="1"/>
    </xf>
    <xf numFmtId="0" fontId="42" fillId="13" borderId="0" xfId="0" applyFont="1" applyFill="1" applyBorder="1" applyAlignment="1">
      <alignment/>
    </xf>
    <xf numFmtId="164" fontId="42" fillId="13" borderId="0" xfId="0" applyNumberFormat="1" applyFont="1" applyFill="1" applyBorder="1" applyAlignment="1">
      <alignment/>
    </xf>
    <xf numFmtId="164" fontId="42" fillId="13" borderId="13" xfId="0" applyNumberFormat="1" applyFont="1" applyFill="1" applyBorder="1" applyAlignment="1">
      <alignment horizontal="center" vertical="center" wrapText="1"/>
    </xf>
    <xf numFmtId="0" fontId="42" fillId="13" borderId="13" xfId="0" applyFont="1" applyFill="1" applyBorder="1" applyAlignment="1">
      <alignment horizontal="center" vertical="center" wrapText="1"/>
    </xf>
    <xf numFmtId="164" fontId="3" fillId="13" borderId="13" xfId="0" applyNumberFormat="1" applyFont="1" applyFill="1" applyBorder="1" applyAlignment="1">
      <alignment horizontal="center"/>
    </xf>
    <xf numFmtId="0" fontId="3" fillId="13" borderId="13" xfId="0" applyFont="1" applyFill="1" applyBorder="1" applyAlignment="1">
      <alignment horizontal="center"/>
    </xf>
    <xf numFmtId="164" fontId="42" fillId="13" borderId="13" xfId="0" applyNumberFormat="1" applyFont="1" applyFill="1" applyBorder="1" applyAlignment="1">
      <alignment/>
    </xf>
    <xf numFmtId="164" fontId="42" fillId="13" borderId="13" xfId="0" applyNumberFormat="1" applyFont="1" applyFill="1" applyBorder="1" applyAlignment="1">
      <alignment horizontal="center"/>
    </xf>
    <xf numFmtId="164" fontId="3" fillId="13" borderId="13" xfId="0" applyNumberFormat="1" applyFont="1" applyFill="1" applyBorder="1" applyAlignment="1">
      <alignment/>
    </xf>
    <xf numFmtId="164" fontId="2" fillId="13" borderId="13" xfId="0" applyNumberFormat="1" applyFont="1" applyFill="1" applyBorder="1" applyAlignment="1">
      <alignment/>
    </xf>
    <xf numFmtId="164" fontId="43" fillId="13" borderId="13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64" fontId="3" fillId="33" borderId="13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4" fontId="41" fillId="0" borderId="0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1" fontId="42" fillId="33" borderId="13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/>
    </xf>
    <xf numFmtId="1" fontId="3" fillId="33" borderId="14" xfId="0" applyNumberFormat="1" applyFont="1" applyFill="1" applyBorder="1" applyAlignment="1">
      <alignment/>
    </xf>
    <xf numFmtId="0" fontId="42" fillId="33" borderId="12" xfId="0" applyFont="1" applyFill="1" applyBorder="1" applyAlignment="1">
      <alignment horizontal="right"/>
    </xf>
    <xf numFmtId="1" fontId="42" fillId="33" borderId="25" xfId="0" applyNumberFormat="1" applyFont="1" applyFill="1" applyBorder="1" applyAlignment="1">
      <alignment horizontal="right"/>
    </xf>
    <xf numFmtId="164" fontId="3" fillId="33" borderId="15" xfId="0" applyNumberFormat="1" applyFont="1" applyFill="1" applyBorder="1" applyAlignment="1">
      <alignment/>
    </xf>
    <xf numFmtId="164" fontId="3" fillId="33" borderId="14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view="pageBreakPreview" zoomScale="53" zoomScaleNormal="77" zoomScaleSheetLayoutView="53" zoomScalePageLayoutView="0" workbookViewId="0" topLeftCell="A23">
      <selection activeCell="F27" sqref="F27"/>
    </sheetView>
  </sheetViews>
  <sheetFormatPr defaultColWidth="16.140625" defaultRowHeight="15"/>
  <cols>
    <col min="1" max="1" width="4.8515625" style="39" customWidth="1"/>
    <col min="2" max="2" width="36.8515625" style="58" customWidth="1"/>
    <col min="3" max="3" width="16.421875" style="58" customWidth="1"/>
    <col min="4" max="4" width="10.7109375" style="40" customWidth="1"/>
    <col min="5" max="5" width="15.00390625" style="41" customWidth="1"/>
    <col min="6" max="6" width="12.421875" style="40" customWidth="1"/>
    <col min="7" max="7" width="0.5625" style="39" hidden="1" customWidth="1"/>
    <col min="8" max="9" width="0.2890625" style="58" hidden="1" customWidth="1"/>
    <col min="10" max="10" width="0.5625" style="58" hidden="1" customWidth="1"/>
    <col min="11" max="11" width="14.140625" style="58" hidden="1" customWidth="1"/>
    <col min="12" max="12" width="1.28515625" style="59" hidden="1" customWidth="1"/>
    <col min="13" max="13" width="15.7109375" style="59" customWidth="1"/>
    <col min="14" max="14" width="11.140625" style="63" customWidth="1"/>
    <col min="15" max="15" width="14.421875" style="59" customWidth="1"/>
    <col min="16" max="16" width="13.140625" style="63" customWidth="1"/>
    <col min="17" max="17" width="13.28125" style="59" customWidth="1"/>
    <col min="18" max="18" width="12.140625" style="63" customWidth="1"/>
    <col min="19" max="19" width="14.57421875" style="59" customWidth="1"/>
    <col min="20" max="20" width="13.421875" style="110" customWidth="1"/>
    <col min="21" max="21" width="14.421875" style="110" customWidth="1"/>
    <col min="22" max="22" width="12.421875" style="110" customWidth="1"/>
    <col min="23" max="23" width="15.57421875" style="109" customWidth="1"/>
    <col min="24" max="24" width="11.00390625" style="58" customWidth="1"/>
    <col min="25" max="25" width="9.140625" style="58" customWidth="1"/>
    <col min="26" max="252" width="9.140625" style="59" customWidth="1"/>
    <col min="253" max="253" width="3.57421875" style="59" customWidth="1"/>
    <col min="254" max="254" width="29.140625" style="59" customWidth="1"/>
    <col min="255" max="255" width="14.00390625" style="59" customWidth="1"/>
    <col min="256" max="16384" width="16.140625" style="59" customWidth="1"/>
  </cols>
  <sheetData>
    <row r="1" spans="1:22" ht="78" customHeight="1">
      <c r="A1" s="1"/>
      <c r="B1" s="1"/>
      <c r="C1" s="140" t="s">
        <v>80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52"/>
      <c r="Q1" s="1"/>
      <c r="R1" s="52"/>
      <c r="S1" s="1"/>
      <c r="T1" s="108"/>
      <c r="U1" s="108"/>
      <c r="V1" s="108"/>
    </row>
    <row r="2" spans="1:22" ht="18.75" customHeight="1">
      <c r="A2" s="1"/>
      <c r="B2" s="1"/>
      <c r="C2" s="1"/>
      <c r="D2" s="50"/>
      <c r="E2" s="2"/>
      <c r="F2" s="50"/>
      <c r="G2" s="2"/>
      <c r="H2" s="2"/>
      <c r="I2" s="2"/>
      <c r="J2" s="2"/>
      <c r="K2" s="2"/>
      <c r="L2" s="2"/>
      <c r="M2" s="2"/>
      <c r="N2" s="50"/>
      <c r="O2" s="1"/>
      <c r="P2" s="52"/>
      <c r="Q2" s="1"/>
      <c r="R2" s="52"/>
      <c r="S2" s="1"/>
      <c r="T2" s="108"/>
      <c r="U2" s="108"/>
      <c r="V2" s="108"/>
    </row>
    <row r="3" spans="1:15" ht="23.25" customHeight="1" thickBot="1">
      <c r="A3" s="3"/>
      <c r="B3" s="4" t="s">
        <v>68</v>
      </c>
      <c r="C3" s="5" t="s">
        <v>69</v>
      </c>
      <c r="D3" s="6"/>
      <c r="E3" s="7"/>
      <c r="F3" s="6"/>
      <c r="G3" s="5"/>
      <c r="H3" s="60"/>
      <c r="I3" s="60"/>
      <c r="J3" s="60"/>
      <c r="K3" s="60"/>
      <c r="L3" s="61"/>
      <c r="M3" s="61"/>
      <c r="N3" s="62"/>
      <c r="O3" s="61"/>
    </row>
    <row r="4" spans="1:15" ht="24" customHeight="1" hidden="1" thickBot="1">
      <c r="A4" s="3"/>
      <c r="B4" s="4"/>
      <c r="C4" s="5" t="s">
        <v>70</v>
      </c>
      <c r="D4" s="6"/>
      <c r="E4" s="7"/>
      <c r="F4" s="6"/>
      <c r="G4" s="5"/>
      <c r="H4" s="60"/>
      <c r="I4" s="60"/>
      <c r="J4" s="60"/>
      <c r="K4" s="60"/>
      <c r="L4" s="61"/>
      <c r="M4" s="61"/>
      <c r="N4" s="62"/>
      <c r="O4" s="61"/>
    </row>
    <row r="5" spans="1:25" ht="138.75" customHeight="1">
      <c r="A5" s="8" t="s">
        <v>0</v>
      </c>
      <c r="B5" s="9" t="s">
        <v>1</v>
      </c>
      <c r="C5" s="100" t="s">
        <v>52</v>
      </c>
      <c r="D5" s="101" t="s">
        <v>53</v>
      </c>
      <c r="E5" s="102" t="s">
        <v>54</v>
      </c>
      <c r="F5" s="103" t="s">
        <v>55</v>
      </c>
      <c r="G5" s="100" t="s">
        <v>56</v>
      </c>
      <c r="H5" s="100" t="s">
        <v>57</v>
      </c>
      <c r="I5" s="100" t="s">
        <v>58</v>
      </c>
      <c r="J5" s="100" t="s">
        <v>59</v>
      </c>
      <c r="K5" s="100" t="s">
        <v>60</v>
      </c>
      <c r="L5" s="104" t="s">
        <v>61</v>
      </c>
      <c r="M5" s="105" t="s">
        <v>67</v>
      </c>
      <c r="N5" s="106" t="s">
        <v>71</v>
      </c>
      <c r="O5" s="107" t="s">
        <v>62</v>
      </c>
      <c r="P5" s="103" t="s">
        <v>63</v>
      </c>
      <c r="Q5" s="100" t="s">
        <v>64</v>
      </c>
      <c r="R5" s="103" t="s">
        <v>65</v>
      </c>
      <c r="S5" s="104" t="s">
        <v>66</v>
      </c>
      <c r="T5" s="111" t="s">
        <v>77</v>
      </c>
      <c r="U5" s="111" t="s">
        <v>78</v>
      </c>
      <c r="V5" s="111" t="s">
        <v>79</v>
      </c>
      <c r="W5" s="112" t="s">
        <v>76</v>
      </c>
      <c r="X5" s="65"/>
      <c r="Y5" s="65"/>
    </row>
    <row r="6" spans="1:25" s="19" customFormat="1" ht="21.75" customHeight="1">
      <c r="A6" s="10">
        <v>1</v>
      </c>
      <c r="B6" s="11">
        <v>2</v>
      </c>
      <c r="C6" s="11">
        <v>3</v>
      </c>
      <c r="D6" s="12">
        <v>4</v>
      </c>
      <c r="E6" s="12">
        <v>5</v>
      </c>
      <c r="F6" s="12">
        <v>6</v>
      </c>
      <c r="G6" s="13">
        <v>7</v>
      </c>
      <c r="H6" s="11">
        <v>8</v>
      </c>
      <c r="I6" s="11">
        <v>9</v>
      </c>
      <c r="J6" s="11">
        <v>10</v>
      </c>
      <c r="K6" s="11">
        <v>11</v>
      </c>
      <c r="L6" s="14">
        <v>12</v>
      </c>
      <c r="M6" s="15">
        <v>13</v>
      </c>
      <c r="N6" s="51">
        <v>14</v>
      </c>
      <c r="O6" s="16">
        <v>15</v>
      </c>
      <c r="P6" s="53">
        <v>16</v>
      </c>
      <c r="Q6" s="17">
        <v>17</v>
      </c>
      <c r="R6" s="53">
        <v>18</v>
      </c>
      <c r="S6" s="14">
        <v>19</v>
      </c>
      <c r="T6" s="113"/>
      <c r="U6" s="113"/>
      <c r="V6" s="113"/>
      <c r="W6" s="114"/>
      <c r="X6" s="18"/>
      <c r="Y6" s="18"/>
    </row>
    <row r="7" spans="1:24" s="58" customFormat="1" ht="18.75" thickBot="1">
      <c r="A7" s="123">
        <v>1</v>
      </c>
      <c r="B7" s="124" t="s">
        <v>2</v>
      </c>
      <c r="C7" s="32">
        <v>55.264</v>
      </c>
      <c r="D7" s="33">
        <v>1</v>
      </c>
      <c r="E7" s="32"/>
      <c r="F7" s="33"/>
      <c r="G7" s="32">
        <v>0</v>
      </c>
      <c r="H7" s="33">
        <v>0</v>
      </c>
      <c r="I7" s="32">
        <v>0</v>
      </c>
      <c r="J7" s="33">
        <v>0</v>
      </c>
      <c r="K7" s="32"/>
      <c r="L7" s="34"/>
      <c r="M7" s="66">
        <v>55.264</v>
      </c>
      <c r="N7" s="67">
        <v>1</v>
      </c>
      <c r="O7" s="35"/>
      <c r="P7" s="33"/>
      <c r="Q7" s="32"/>
      <c r="R7" s="33"/>
      <c r="S7" s="96">
        <v>3</v>
      </c>
      <c r="T7" s="115">
        <f>ROUND((M7/N7),3)</f>
        <v>55.264</v>
      </c>
      <c r="U7" s="115">
        <f>ROUND((M7+O7)/(N7+P7),3)</f>
        <v>55.264</v>
      </c>
      <c r="V7" s="116" t="s">
        <v>75</v>
      </c>
      <c r="W7" s="116" t="s">
        <v>75</v>
      </c>
      <c r="X7" s="68"/>
    </row>
    <row r="8" spans="1:24" s="58" customFormat="1" ht="18.75" thickBot="1">
      <c r="A8" s="133" t="s">
        <v>3</v>
      </c>
      <c r="B8" s="134"/>
      <c r="C8" s="20">
        <f aca="true" t="shared" si="0" ref="C8:S8">SUM(C7:C7)</f>
        <v>55.264</v>
      </c>
      <c r="D8" s="21">
        <f t="shared" si="0"/>
        <v>1</v>
      </c>
      <c r="E8" s="20">
        <f t="shared" si="0"/>
        <v>0</v>
      </c>
      <c r="F8" s="21">
        <f t="shared" si="0"/>
        <v>0</v>
      </c>
      <c r="G8" s="20">
        <f t="shared" si="0"/>
        <v>0</v>
      </c>
      <c r="H8" s="21">
        <f t="shared" si="0"/>
        <v>0</v>
      </c>
      <c r="I8" s="20">
        <f t="shared" si="0"/>
        <v>0</v>
      </c>
      <c r="J8" s="21">
        <f t="shared" si="0"/>
        <v>0</v>
      </c>
      <c r="K8" s="21">
        <f t="shared" si="0"/>
        <v>0</v>
      </c>
      <c r="L8" s="22">
        <f t="shared" si="0"/>
        <v>0</v>
      </c>
      <c r="M8" s="23">
        <f t="shared" si="0"/>
        <v>55.264</v>
      </c>
      <c r="N8" s="24">
        <f t="shared" si="0"/>
        <v>1</v>
      </c>
      <c r="O8" s="25">
        <f t="shared" si="0"/>
        <v>0</v>
      </c>
      <c r="P8" s="21">
        <f t="shared" si="0"/>
        <v>0</v>
      </c>
      <c r="Q8" s="21">
        <f t="shared" si="0"/>
        <v>0</v>
      </c>
      <c r="R8" s="21">
        <f t="shared" si="0"/>
        <v>0</v>
      </c>
      <c r="S8" s="22">
        <f t="shared" si="0"/>
        <v>3</v>
      </c>
      <c r="T8" s="115"/>
      <c r="U8" s="115"/>
      <c r="V8" s="115"/>
      <c r="W8" s="115"/>
      <c r="X8" s="68"/>
    </row>
    <row r="9" spans="1:24" s="58" customFormat="1" ht="18">
      <c r="A9" s="135" t="s">
        <v>4</v>
      </c>
      <c r="B9" s="136"/>
      <c r="C9" s="69"/>
      <c r="D9" s="26"/>
      <c r="E9" s="27"/>
      <c r="F9" s="26"/>
      <c r="G9" s="27"/>
      <c r="H9" s="70"/>
      <c r="I9" s="70"/>
      <c r="J9" s="71"/>
      <c r="K9" s="70"/>
      <c r="L9" s="72"/>
      <c r="M9" s="73"/>
      <c r="N9" s="74"/>
      <c r="O9" s="75"/>
      <c r="P9" s="76"/>
      <c r="Q9" s="70"/>
      <c r="R9" s="76"/>
      <c r="S9" s="97"/>
      <c r="T9" s="115"/>
      <c r="U9" s="115"/>
      <c r="V9" s="115"/>
      <c r="W9" s="115"/>
      <c r="X9" s="68"/>
    </row>
    <row r="10" spans="1:24" s="58" customFormat="1" ht="18">
      <c r="A10" s="122">
        <v>2</v>
      </c>
      <c r="B10" s="125" t="s">
        <v>5</v>
      </c>
      <c r="C10" s="28">
        <f>16.018+527.628-33</f>
        <v>510.6460000000001</v>
      </c>
      <c r="D10" s="77">
        <f>22+2-3</f>
        <v>21</v>
      </c>
      <c r="E10" s="28">
        <v>45.254</v>
      </c>
      <c r="F10" s="29">
        <v>1</v>
      </c>
      <c r="G10" s="28">
        <v>0</v>
      </c>
      <c r="H10" s="29">
        <v>0</v>
      </c>
      <c r="I10" s="28">
        <v>0</v>
      </c>
      <c r="J10" s="29">
        <v>0</v>
      </c>
      <c r="K10" s="28">
        <v>0</v>
      </c>
      <c r="L10" s="30">
        <v>0</v>
      </c>
      <c r="M10" s="78">
        <v>372.374</v>
      </c>
      <c r="N10" s="79">
        <v>11</v>
      </c>
      <c r="O10" s="31">
        <v>0</v>
      </c>
      <c r="P10" s="29">
        <v>0</v>
      </c>
      <c r="Q10" s="28">
        <f>16.018+110-33</f>
        <v>93.018</v>
      </c>
      <c r="R10" s="29">
        <f>10+2-3</f>
        <v>9</v>
      </c>
      <c r="S10" s="98">
        <v>0</v>
      </c>
      <c r="T10" s="117">
        <f aca="true" t="shared" si="1" ref="T10:T56">ROUND((M10/N10),3)</f>
        <v>33.852</v>
      </c>
      <c r="U10" s="115">
        <f aca="true" t="shared" si="2" ref="U10:U56">ROUND((M10+O10)/(N10+P10),3)</f>
        <v>33.852</v>
      </c>
      <c r="V10" s="115">
        <f aca="true" t="shared" si="3" ref="V10:V56">C10/D10</f>
        <v>24.316476190476195</v>
      </c>
      <c r="W10" s="115">
        <f>E10/F10</f>
        <v>45.254</v>
      </c>
      <c r="X10" s="68"/>
    </row>
    <row r="11" spans="1:24" s="58" customFormat="1" ht="18">
      <c r="A11" s="122">
        <v>3</v>
      </c>
      <c r="B11" s="125" t="s">
        <v>6</v>
      </c>
      <c r="C11" s="28">
        <v>580.854</v>
      </c>
      <c r="D11" s="29">
        <f>18</f>
        <v>18</v>
      </c>
      <c r="E11" s="28">
        <v>49.561</v>
      </c>
      <c r="F11" s="29">
        <v>1</v>
      </c>
      <c r="G11" s="28"/>
      <c r="H11" s="29"/>
      <c r="I11" s="28"/>
      <c r="J11" s="29"/>
      <c r="K11" s="28"/>
      <c r="L11" s="30"/>
      <c r="M11" s="78">
        <v>400.199</v>
      </c>
      <c r="N11" s="79">
        <v>9</v>
      </c>
      <c r="O11" s="31">
        <v>35.896</v>
      </c>
      <c r="P11" s="29">
        <v>1</v>
      </c>
      <c r="Q11" s="28">
        <v>95.198</v>
      </c>
      <c r="R11" s="29">
        <f>7</f>
        <v>7</v>
      </c>
      <c r="S11" s="98">
        <v>45.407</v>
      </c>
      <c r="T11" s="117">
        <f t="shared" si="1"/>
        <v>44.467</v>
      </c>
      <c r="U11" s="115">
        <f t="shared" si="2"/>
        <v>43.61</v>
      </c>
      <c r="V11" s="115">
        <f t="shared" si="3"/>
        <v>32.269666666666666</v>
      </c>
      <c r="W11" s="115">
        <f aca="true" t="shared" si="4" ref="W11:W56">E11/F11</f>
        <v>49.561</v>
      </c>
      <c r="X11" s="68"/>
    </row>
    <row r="12" spans="1:24" s="58" customFormat="1" ht="18">
      <c r="A12" s="122">
        <v>4</v>
      </c>
      <c r="B12" s="125" t="s">
        <v>7</v>
      </c>
      <c r="C12" s="28">
        <f>639.748-2.29</f>
        <v>637.4580000000001</v>
      </c>
      <c r="D12" s="77">
        <f>23-1</f>
        <v>22</v>
      </c>
      <c r="E12" s="28">
        <v>53.298</v>
      </c>
      <c r="F12" s="29">
        <v>1</v>
      </c>
      <c r="G12" s="28">
        <v>0</v>
      </c>
      <c r="H12" s="29">
        <v>0</v>
      </c>
      <c r="I12" s="28">
        <v>0</v>
      </c>
      <c r="J12" s="29">
        <v>0</v>
      </c>
      <c r="K12" s="28">
        <v>0</v>
      </c>
      <c r="L12" s="30">
        <v>0</v>
      </c>
      <c r="M12" s="78">
        <f>431.953-2.29</f>
        <v>429.66299999999995</v>
      </c>
      <c r="N12" s="79">
        <f>10-1</f>
        <v>9</v>
      </c>
      <c r="O12" s="31">
        <v>39.319</v>
      </c>
      <c r="P12" s="29">
        <v>1</v>
      </c>
      <c r="Q12" s="28">
        <v>115.178</v>
      </c>
      <c r="R12" s="29">
        <v>11</v>
      </c>
      <c r="S12" s="98">
        <v>0</v>
      </c>
      <c r="T12" s="117">
        <f t="shared" si="1"/>
        <v>47.74</v>
      </c>
      <c r="U12" s="115">
        <f t="shared" si="2"/>
        <v>46.898</v>
      </c>
      <c r="V12" s="115">
        <f t="shared" si="3"/>
        <v>28.97536363636364</v>
      </c>
      <c r="W12" s="115">
        <f t="shared" si="4"/>
        <v>53.298</v>
      </c>
      <c r="X12" s="80"/>
    </row>
    <row r="13" spans="1:24" s="58" customFormat="1" ht="18">
      <c r="A13" s="122">
        <v>5</v>
      </c>
      <c r="B13" s="125" t="s">
        <v>8</v>
      </c>
      <c r="C13" s="28">
        <v>581.91</v>
      </c>
      <c r="D13" s="77">
        <v>21</v>
      </c>
      <c r="E13" s="28">
        <v>52.098</v>
      </c>
      <c r="F13" s="29">
        <v>1</v>
      </c>
      <c r="G13" s="28">
        <v>0</v>
      </c>
      <c r="H13" s="29">
        <v>0</v>
      </c>
      <c r="I13" s="28">
        <v>0</v>
      </c>
      <c r="J13" s="29">
        <v>0</v>
      </c>
      <c r="K13" s="28">
        <v>0</v>
      </c>
      <c r="L13" s="30">
        <v>0</v>
      </c>
      <c r="M13" s="78">
        <v>352.282</v>
      </c>
      <c r="N13" s="79">
        <v>10</v>
      </c>
      <c r="O13" s="31">
        <v>81.215</v>
      </c>
      <c r="P13" s="29">
        <v>3</v>
      </c>
      <c r="Q13" s="28">
        <v>96.315</v>
      </c>
      <c r="R13" s="29">
        <v>7</v>
      </c>
      <c r="S13" s="98">
        <v>18.364</v>
      </c>
      <c r="T13" s="117">
        <f t="shared" si="1"/>
        <v>35.228</v>
      </c>
      <c r="U13" s="115">
        <f t="shared" si="2"/>
        <v>33.346</v>
      </c>
      <c r="V13" s="115">
        <f t="shared" si="3"/>
        <v>27.709999999999997</v>
      </c>
      <c r="W13" s="115">
        <f t="shared" si="4"/>
        <v>52.098</v>
      </c>
      <c r="X13" s="80"/>
    </row>
    <row r="14" spans="1:24" s="58" customFormat="1" ht="18">
      <c r="A14" s="122">
        <v>6</v>
      </c>
      <c r="B14" s="125" t="s">
        <v>9</v>
      </c>
      <c r="C14" s="28">
        <f>562.888-14.724</f>
        <v>548.164</v>
      </c>
      <c r="D14" s="77">
        <f>18-2</f>
        <v>16</v>
      </c>
      <c r="E14" s="28">
        <v>57.933</v>
      </c>
      <c r="F14" s="29">
        <v>1</v>
      </c>
      <c r="G14" s="28"/>
      <c r="H14" s="29"/>
      <c r="I14" s="28"/>
      <c r="J14" s="29"/>
      <c r="K14" s="28"/>
      <c r="L14" s="30"/>
      <c r="M14" s="81">
        <f>388.767-8.669</f>
        <v>380.098</v>
      </c>
      <c r="N14" s="79">
        <f>8-1</f>
        <v>7</v>
      </c>
      <c r="O14" s="31">
        <v>25.325</v>
      </c>
      <c r="P14" s="29">
        <v>1</v>
      </c>
      <c r="Q14" s="28">
        <f>90.863-6.056</f>
        <v>84.807</v>
      </c>
      <c r="R14" s="29">
        <f>8-1</f>
        <v>7</v>
      </c>
      <c r="S14" s="98">
        <v>0</v>
      </c>
      <c r="T14" s="117">
        <f t="shared" si="1"/>
        <v>54.3</v>
      </c>
      <c r="U14" s="115">
        <f t="shared" si="2"/>
        <v>50.678</v>
      </c>
      <c r="V14" s="115">
        <f t="shared" si="3"/>
        <v>34.26025</v>
      </c>
      <c r="W14" s="115">
        <f t="shared" si="4"/>
        <v>57.933</v>
      </c>
      <c r="X14" s="68"/>
    </row>
    <row r="15" spans="1:24" s="58" customFormat="1" ht="18">
      <c r="A15" s="122">
        <v>7</v>
      </c>
      <c r="B15" s="125" t="s">
        <v>10</v>
      </c>
      <c r="C15" s="28">
        <v>580.558</v>
      </c>
      <c r="D15" s="77">
        <v>19</v>
      </c>
      <c r="E15" s="28">
        <v>51.549</v>
      </c>
      <c r="F15" s="29">
        <v>1</v>
      </c>
      <c r="G15" s="28">
        <v>0</v>
      </c>
      <c r="H15" s="29">
        <v>0</v>
      </c>
      <c r="I15" s="28">
        <v>0</v>
      </c>
      <c r="J15" s="29">
        <v>0</v>
      </c>
      <c r="K15" s="28">
        <v>0</v>
      </c>
      <c r="L15" s="30">
        <v>0</v>
      </c>
      <c r="M15" s="81">
        <v>389.361</v>
      </c>
      <c r="N15" s="79">
        <v>8</v>
      </c>
      <c r="O15" s="120">
        <v>37.137</v>
      </c>
      <c r="P15" s="121">
        <v>1</v>
      </c>
      <c r="Q15" s="28">
        <v>102.511</v>
      </c>
      <c r="R15" s="29">
        <v>9</v>
      </c>
      <c r="S15" s="98">
        <v>0</v>
      </c>
      <c r="T15" s="117">
        <f t="shared" si="1"/>
        <v>48.67</v>
      </c>
      <c r="U15" s="115">
        <f t="shared" si="2"/>
        <v>47.389</v>
      </c>
      <c r="V15" s="115">
        <f t="shared" si="3"/>
        <v>30.555684210526316</v>
      </c>
      <c r="W15" s="115">
        <f t="shared" si="4"/>
        <v>51.549</v>
      </c>
      <c r="X15" s="80"/>
    </row>
    <row r="16" spans="1:24" s="58" customFormat="1" ht="18">
      <c r="A16" s="122">
        <v>8</v>
      </c>
      <c r="B16" s="125" t="s">
        <v>11</v>
      </c>
      <c r="C16" s="28">
        <v>384.087</v>
      </c>
      <c r="D16" s="77">
        <v>16</v>
      </c>
      <c r="E16" s="28">
        <v>16.844</v>
      </c>
      <c r="F16" s="29">
        <v>1</v>
      </c>
      <c r="G16" s="28">
        <v>0</v>
      </c>
      <c r="H16" s="29">
        <v>0</v>
      </c>
      <c r="I16" s="28">
        <v>0</v>
      </c>
      <c r="J16" s="29">
        <v>0</v>
      </c>
      <c r="K16" s="28">
        <v>0</v>
      </c>
      <c r="L16" s="30">
        <v>0</v>
      </c>
      <c r="M16" s="81">
        <v>286.581</v>
      </c>
      <c r="N16" s="79">
        <v>8</v>
      </c>
      <c r="O16" s="31">
        <v>0</v>
      </c>
      <c r="P16" s="29">
        <v>0</v>
      </c>
      <c r="Q16" s="28">
        <v>80.662</v>
      </c>
      <c r="R16" s="29">
        <v>7</v>
      </c>
      <c r="S16" s="98">
        <v>1.693</v>
      </c>
      <c r="T16" s="117">
        <f t="shared" si="1"/>
        <v>35.823</v>
      </c>
      <c r="U16" s="115">
        <f t="shared" si="2"/>
        <v>35.823</v>
      </c>
      <c r="V16" s="115">
        <f t="shared" si="3"/>
        <v>24.0054375</v>
      </c>
      <c r="W16" s="115">
        <f t="shared" si="4"/>
        <v>16.844</v>
      </c>
      <c r="X16" s="68"/>
    </row>
    <row r="17" spans="1:25" s="58" customFormat="1" ht="18">
      <c r="A17" s="122">
        <v>9</v>
      </c>
      <c r="B17" s="125" t="s">
        <v>12</v>
      </c>
      <c r="C17" s="28">
        <v>693.6</v>
      </c>
      <c r="D17" s="77">
        <v>19</v>
      </c>
      <c r="E17" s="28">
        <v>140.786</v>
      </c>
      <c r="F17" s="29">
        <v>2</v>
      </c>
      <c r="G17" s="28">
        <v>0</v>
      </c>
      <c r="H17" s="29">
        <v>0</v>
      </c>
      <c r="I17" s="28">
        <v>0</v>
      </c>
      <c r="J17" s="29">
        <v>0</v>
      </c>
      <c r="K17" s="28">
        <v>0</v>
      </c>
      <c r="L17" s="30">
        <v>0</v>
      </c>
      <c r="M17" s="81">
        <v>424.618</v>
      </c>
      <c r="N17" s="79">
        <v>9</v>
      </c>
      <c r="O17" s="31">
        <v>45.832</v>
      </c>
      <c r="P17" s="29">
        <v>1</v>
      </c>
      <c r="Q17" s="28">
        <v>82.364</v>
      </c>
      <c r="R17" s="29">
        <v>7</v>
      </c>
      <c r="S17" s="98">
        <v>7.36</v>
      </c>
      <c r="T17" s="117">
        <f t="shared" si="1"/>
        <v>47.18</v>
      </c>
      <c r="U17" s="115">
        <f t="shared" si="2"/>
        <v>47.045</v>
      </c>
      <c r="V17" s="115">
        <f t="shared" si="3"/>
        <v>36.50526315789474</v>
      </c>
      <c r="W17" s="115">
        <f t="shared" si="4"/>
        <v>70.393</v>
      </c>
      <c r="X17" s="80"/>
      <c r="Y17" s="60"/>
    </row>
    <row r="18" spans="1:25" s="58" customFormat="1" ht="18.75" customHeight="1" thickBot="1">
      <c r="A18" s="122">
        <v>10</v>
      </c>
      <c r="B18" s="124" t="s">
        <v>13</v>
      </c>
      <c r="C18" s="32">
        <v>524.354</v>
      </c>
      <c r="D18" s="82">
        <v>14</v>
      </c>
      <c r="E18" s="32">
        <v>133.387</v>
      </c>
      <c r="F18" s="33">
        <v>2</v>
      </c>
      <c r="G18" s="32">
        <v>0</v>
      </c>
      <c r="H18" s="33">
        <v>0</v>
      </c>
      <c r="I18" s="32">
        <v>0</v>
      </c>
      <c r="J18" s="33">
        <v>0</v>
      </c>
      <c r="K18" s="32">
        <v>0</v>
      </c>
      <c r="L18" s="34">
        <v>0</v>
      </c>
      <c r="M18" s="66">
        <v>340.831</v>
      </c>
      <c r="N18" s="67">
        <v>8</v>
      </c>
      <c r="O18" s="35">
        <v>0</v>
      </c>
      <c r="P18" s="33">
        <v>0</v>
      </c>
      <c r="Q18" s="32">
        <v>50.136</v>
      </c>
      <c r="R18" s="33">
        <v>4</v>
      </c>
      <c r="S18" s="96">
        <v>5.592</v>
      </c>
      <c r="T18" s="117">
        <f t="shared" si="1"/>
        <v>42.604</v>
      </c>
      <c r="U18" s="115">
        <f t="shared" si="2"/>
        <v>42.604</v>
      </c>
      <c r="V18" s="115">
        <f t="shared" si="3"/>
        <v>37.453857142857146</v>
      </c>
      <c r="W18" s="115">
        <f t="shared" si="4"/>
        <v>66.6935</v>
      </c>
      <c r="X18" s="80"/>
      <c r="Y18" s="60"/>
    </row>
    <row r="19" spans="1:24" s="58" customFormat="1" ht="18.75" thickBot="1">
      <c r="A19" s="127" t="s">
        <v>14</v>
      </c>
      <c r="B19" s="128"/>
      <c r="C19" s="20">
        <f aca="true" t="shared" si="5" ref="C19:L19">SUM(C10:C18)</f>
        <v>5041.631</v>
      </c>
      <c r="D19" s="21">
        <f t="shared" si="5"/>
        <v>166</v>
      </c>
      <c r="E19" s="20">
        <f t="shared" si="5"/>
        <v>600.71</v>
      </c>
      <c r="F19" s="21">
        <f t="shared" si="5"/>
        <v>11</v>
      </c>
      <c r="G19" s="20">
        <f t="shared" si="5"/>
        <v>0</v>
      </c>
      <c r="H19" s="21">
        <f t="shared" si="5"/>
        <v>0</v>
      </c>
      <c r="I19" s="20">
        <f t="shared" si="5"/>
        <v>0</v>
      </c>
      <c r="J19" s="21">
        <f t="shared" si="5"/>
        <v>0</v>
      </c>
      <c r="K19" s="20">
        <f t="shared" si="5"/>
        <v>0</v>
      </c>
      <c r="L19" s="22">
        <f t="shared" si="5"/>
        <v>0</v>
      </c>
      <c r="M19" s="23">
        <f aca="true" t="shared" si="6" ref="M19:S19">SUM(M10:M18)</f>
        <v>3376.007</v>
      </c>
      <c r="N19" s="24">
        <f t="shared" si="6"/>
        <v>79</v>
      </c>
      <c r="O19" s="25">
        <f t="shared" si="6"/>
        <v>264.724</v>
      </c>
      <c r="P19" s="21">
        <f t="shared" si="6"/>
        <v>8</v>
      </c>
      <c r="Q19" s="21">
        <f t="shared" si="6"/>
        <v>800.1890000000001</v>
      </c>
      <c r="R19" s="21">
        <f t="shared" si="6"/>
        <v>68</v>
      </c>
      <c r="S19" s="22">
        <f t="shared" si="6"/>
        <v>78.416</v>
      </c>
      <c r="T19" s="118"/>
      <c r="U19" s="115"/>
      <c r="V19" s="115"/>
      <c r="W19" s="115"/>
      <c r="X19" s="80"/>
    </row>
    <row r="20" spans="1:24" s="58" customFormat="1" ht="18">
      <c r="A20" s="129"/>
      <c r="B20" s="130" t="s">
        <v>15</v>
      </c>
      <c r="C20" s="83"/>
      <c r="D20" s="26"/>
      <c r="E20" s="27"/>
      <c r="F20" s="26"/>
      <c r="G20" s="27"/>
      <c r="H20" s="70"/>
      <c r="I20" s="70"/>
      <c r="J20" s="71"/>
      <c r="K20" s="70"/>
      <c r="L20" s="72"/>
      <c r="M20" s="73"/>
      <c r="N20" s="74"/>
      <c r="O20" s="75"/>
      <c r="P20" s="76"/>
      <c r="Q20" s="70"/>
      <c r="R20" s="76"/>
      <c r="S20" s="97"/>
      <c r="T20" s="117"/>
      <c r="U20" s="115"/>
      <c r="V20" s="115"/>
      <c r="W20" s="115"/>
      <c r="X20" s="68"/>
    </row>
    <row r="21" spans="1:24" s="58" customFormat="1" ht="18">
      <c r="A21" s="122">
        <v>11</v>
      </c>
      <c r="B21" s="125" t="s">
        <v>16</v>
      </c>
      <c r="C21" s="28">
        <f>1846.917-25.694</f>
        <v>1821.223</v>
      </c>
      <c r="D21" s="77">
        <f>57-3</f>
        <v>54</v>
      </c>
      <c r="E21" s="28">
        <v>274.455</v>
      </c>
      <c r="F21" s="29">
        <v>5</v>
      </c>
      <c r="G21" s="28">
        <v>0</v>
      </c>
      <c r="H21" s="29">
        <v>0</v>
      </c>
      <c r="I21" s="28">
        <v>0</v>
      </c>
      <c r="J21" s="29">
        <v>0</v>
      </c>
      <c r="K21" s="28">
        <v>0</v>
      </c>
      <c r="L21" s="30">
        <v>0</v>
      </c>
      <c r="M21" s="78">
        <v>1276.576</v>
      </c>
      <c r="N21" s="79">
        <v>30</v>
      </c>
      <c r="O21" s="31">
        <v>119.437</v>
      </c>
      <c r="P21" s="29">
        <v>5</v>
      </c>
      <c r="Q21" s="28">
        <f>176.449-25.694</f>
        <v>150.75500000000002</v>
      </c>
      <c r="R21" s="29">
        <f>17-3</f>
        <v>14</v>
      </c>
      <c r="S21" s="98">
        <v>126.079</v>
      </c>
      <c r="T21" s="117">
        <f t="shared" si="1"/>
        <v>42.553</v>
      </c>
      <c r="U21" s="115">
        <f t="shared" si="2"/>
        <v>39.886</v>
      </c>
      <c r="V21" s="115">
        <f t="shared" si="3"/>
        <v>33.72635185185185</v>
      </c>
      <c r="W21" s="115">
        <f t="shared" si="4"/>
        <v>54.891</v>
      </c>
      <c r="X21" s="68"/>
    </row>
    <row r="22" spans="1:24" s="58" customFormat="1" ht="18">
      <c r="A22" s="122">
        <v>12</v>
      </c>
      <c r="B22" s="125" t="s">
        <v>17</v>
      </c>
      <c r="C22" s="28">
        <v>887.287</v>
      </c>
      <c r="D22" s="77">
        <v>29</v>
      </c>
      <c r="E22" s="28">
        <v>136.634</v>
      </c>
      <c r="F22" s="29">
        <v>3</v>
      </c>
      <c r="G22" s="28">
        <v>0</v>
      </c>
      <c r="H22" s="29">
        <v>0</v>
      </c>
      <c r="I22" s="28">
        <v>0</v>
      </c>
      <c r="J22" s="29">
        <v>0</v>
      </c>
      <c r="K22" s="28">
        <v>0</v>
      </c>
      <c r="L22" s="30">
        <v>0</v>
      </c>
      <c r="M22" s="78">
        <v>583.164</v>
      </c>
      <c r="N22" s="79">
        <v>14</v>
      </c>
      <c r="O22" s="31">
        <v>68.489</v>
      </c>
      <c r="P22" s="29">
        <v>3</v>
      </c>
      <c r="Q22" s="28">
        <v>99</v>
      </c>
      <c r="R22" s="29">
        <v>9</v>
      </c>
      <c r="S22" s="98">
        <v>0</v>
      </c>
      <c r="T22" s="117">
        <f t="shared" si="1"/>
        <v>41.655</v>
      </c>
      <c r="U22" s="115">
        <f t="shared" si="2"/>
        <v>38.333</v>
      </c>
      <c r="V22" s="115">
        <f t="shared" si="3"/>
        <v>30.596103448275862</v>
      </c>
      <c r="W22" s="115">
        <f t="shared" si="4"/>
        <v>45.544666666666664</v>
      </c>
      <c r="X22" s="68"/>
    </row>
    <row r="23" spans="1:24" s="58" customFormat="1" ht="18">
      <c r="A23" s="122">
        <v>13</v>
      </c>
      <c r="B23" s="125" t="s">
        <v>18</v>
      </c>
      <c r="C23" s="28">
        <f>1324.002+22-11.162-269.078</f>
        <v>1065.762</v>
      </c>
      <c r="D23" s="77">
        <f>49+2-15-2</f>
        <v>34</v>
      </c>
      <c r="E23" s="28">
        <v>194.856</v>
      </c>
      <c r="F23" s="29">
        <v>3</v>
      </c>
      <c r="G23" s="28">
        <v>0</v>
      </c>
      <c r="H23" s="29">
        <v>0</v>
      </c>
      <c r="I23" s="28">
        <v>0</v>
      </c>
      <c r="J23" s="29">
        <v>0</v>
      </c>
      <c r="K23" s="28">
        <v>0</v>
      </c>
      <c r="L23" s="30">
        <v>0</v>
      </c>
      <c r="M23" s="78">
        <v>661.659</v>
      </c>
      <c r="N23" s="79">
        <v>15</v>
      </c>
      <c r="O23" s="31">
        <f>201.092-105.924-15.625-5.224</f>
        <v>74.319</v>
      </c>
      <c r="P23" s="29">
        <f>6-3-1-1</f>
        <v>1</v>
      </c>
      <c r="Q23" s="28">
        <f>266.395+22-11-48.42-11-44.163-11.162</f>
        <v>162.64999999999995</v>
      </c>
      <c r="R23" s="29">
        <f>25+2-9-1</f>
        <v>17</v>
      </c>
      <c r="S23" s="98">
        <v>7.5</v>
      </c>
      <c r="T23" s="117">
        <f t="shared" si="1"/>
        <v>44.111</v>
      </c>
      <c r="U23" s="115">
        <f t="shared" si="2"/>
        <v>45.999</v>
      </c>
      <c r="V23" s="115">
        <f t="shared" si="3"/>
        <v>31.345941176470586</v>
      </c>
      <c r="W23" s="115">
        <f t="shared" si="4"/>
        <v>64.952</v>
      </c>
      <c r="X23" s="68"/>
    </row>
    <row r="24" spans="1:24" s="58" customFormat="1" ht="18">
      <c r="A24" s="122">
        <v>14</v>
      </c>
      <c r="B24" s="125" t="s">
        <v>19</v>
      </c>
      <c r="C24" s="28">
        <v>563.055</v>
      </c>
      <c r="D24" s="77">
        <v>20</v>
      </c>
      <c r="E24" s="28">
        <v>82.683</v>
      </c>
      <c r="F24" s="29">
        <v>2</v>
      </c>
      <c r="G24" s="28">
        <v>0</v>
      </c>
      <c r="H24" s="29">
        <v>0</v>
      </c>
      <c r="I24" s="28">
        <v>0</v>
      </c>
      <c r="J24" s="29">
        <v>0</v>
      </c>
      <c r="K24" s="28">
        <v>0</v>
      </c>
      <c r="L24" s="30">
        <v>0</v>
      </c>
      <c r="M24" s="78">
        <v>382.902</v>
      </c>
      <c r="N24" s="79">
        <v>10</v>
      </c>
      <c r="O24" s="31">
        <v>0</v>
      </c>
      <c r="P24" s="29"/>
      <c r="Q24" s="28">
        <v>97.47</v>
      </c>
      <c r="R24" s="29">
        <v>8</v>
      </c>
      <c r="S24" s="98">
        <v>15</v>
      </c>
      <c r="T24" s="117">
        <f t="shared" si="1"/>
        <v>38.29</v>
      </c>
      <c r="U24" s="115">
        <f t="shared" si="2"/>
        <v>38.29</v>
      </c>
      <c r="V24" s="115">
        <f t="shared" si="3"/>
        <v>28.152749999999997</v>
      </c>
      <c r="W24" s="115">
        <f t="shared" si="4"/>
        <v>41.3415</v>
      </c>
      <c r="X24" s="68"/>
    </row>
    <row r="25" spans="1:24" s="58" customFormat="1" ht="18">
      <c r="A25" s="122">
        <v>15</v>
      </c>
      <c r="B25" s="142" t="s">
        <v>20</v>
      </c>
      <c r="C25" s="126"/>
      <c r="D25" s="143"/>
      <c r="E25" s="126"/>
      <c r="F25" s="144"/>
      <c r="G25" s="126"/>
      <c r="H25" s="144"/>
      <c r="I25" s="126"/>
      <c r="J25" s="144"/>
      <c r="K25" s="126"/>
      <c r="L25" s="145"/>
      <c r="M25" s="146">
        <f>835.144+25.094</f>
        <v>860.238</v>
      </c>
      <c r="N25" s="147">
        <v>21</v>
      </c>
      <c r="O25" s="148"/>
      <c r="P25" s="144"/>
      <c r="Q25" s="126"/>
      <c r="R25" s="144"/>
      <c r="S25" s="149"/>
      <c r="T25" s="117">
        <f t="shared" si="1"/>
        <v>40.964</v>
      </c>
      <c r="U25" s="115" t="s">
        <v>75</v>
      </c>
      <c r="V25" s="115" t="e">
        <f t="shared" si="3"/>
        <v>#DIV/0!</v>
      </c>
      <c r="W25" s="115" t="e">
        <f t="shared" si="4"/>
        <v>#DIV/0!</v>
      </c>
      <c r="X25" s="68"/>
    </row>
    <row r="26" spans="1:24" s="58" customFormat="1" ht="18">
      <c r="A26" s="122">
        <v>16</v>
      </c>
      <c r="B26" s="125" t="s">
        <v>21</v>
      </c>
      <c r="C26" s="28">
        <v>1437.304</v>
      </c>
      <c r="D26" s="29">
        <v>45</v>
      </c>
      <c r="E26" s="28">
        <v>225.486</v>
      </c>
      <c r="F26" s="29">
        <v>4</v>
      </c>
      <c r="G26" s="28">
        <v>0</v>
      </c>
      <c r="H26" s="29">
        <v>0</v>
      </c>
      <c r="I26" s="28">
        <v>0</v>
      </c>
      <c r="J26" s="29">
        <v>0</v>
      </c>
      <c r="K26" s="28">
        <v>0</v>
      </c>
      <c r="L26" s="30">
        <v>0</v>
      </c>
      <c r="M26" s="81">
        <v>1008.048</v>
      </c>
      <c r="N26" s="79">
        <v>25</v>
      </c>
      <c r="O26" s="31">
        <v>125.132</v>
      </c>
      <c r="P26" s="29">
        <v>4</v>
      </c>
      <c r="Q26" s="28">
        <v>78.638</v>
      </c>
      <c r="R26" s="29">
        <v>12</v>
      </c>
      <c r="S26" s="98">
        <v>14.756</v>
      </c>
      <c r="T26" s="117">
        <f t="shared" si="1"/>
        <v>40.322</v>
      </c>
      <c r="U26" s="115">
        <f t="shared" si="2"/>
        <v>39.075</v>
      </c>
      <c r="V26" s="115">
        <f t="shared" si="3"/>
        <v>31.94008888888889</v>
      </c>
      <c r="W26" s="115">
        <f t="shared" si="4"/>
        <v>56.3715</v>
      </c>
      <c r="X26" s="68"/>
    </row>
    <row r="27" spans="1:24" s="58" customFormat="1" ht="18">
      <c r="A27" s="122">
        <v>17</v>
      </c>
      <c r="B27" s="125" t="s">
        <v>22</v>
      </c>
      <c r="C27" s="28">
        <v>914.658</v>
      </c>
      <c r="D27" s="77">
        <v>30</v>
      </c>
      <c r="E27" s="28">
        <v>87.154</v>
      </c>
      <c r="F27" s="29">
        <v>2</v>
      </c>
      <c r="G27" s="28">
        <v>0</v>
      </c>
      <c r="H27" s="29">
        <v>0</v>
      </c>
      <c r="I27" s="28">
        <v>0</v>
      </c>
      <c r="J27" s="29">
        <v>0</v>
      </c>
      <c r="K27" s="28">
        <v>0</v>
      </c>
      <c r="L27" s="30">
        <v>0</v>
      </c>
      <c r="M27" s="81">
        <v>658.924</v>
      </c>
      <c r="N27" s="79">
        <v>17</v>
      </c>
      <c r="O27" s="31">
        <v>84.514</v>
      </c>
      <c r="P27" s="29">
        <v>3</v>
      </c>
      <c r="Q27" s="28">
        <v>84.066</v>
      </c>
      <c r="R27" s="29">
        <v>8</v>
      </c>
      <c r="S27" s="98">
        <v>15</v>
      </c>
      <c r="T27" s="117">
        <f t="shared" si="1"/>
        <v>38.76</v>
      </c>
      <c r="U27" s="115">
        <f t="shared" si="2"/>
        <v>37.172</v>
      </c>
      <c r="V27" s="115">
        <f t="shared" si="3"/>
        <v>30.4886</v>
      </c>
      <c r="W27" s="115">
        <f t="shared" si="4"/>
        <v>43.577</v>
      </c>
      <c r="X27" s="68"/>
    </row>
    <row r="28" spans="1:24" s="58" customFormat="1" ht="18">
      <c r="A28" s="122">
        <v>18</v>
      </c>
      <c r="B28" s="125" t="s">
        <v>23</v>
      </c>
      <c r="C28" s="28">
        <v>885.742</v>
      </c>
      <c r="D28" s="77">
        <v>29</v>
      </c>
      <c r="E28" s="28">
        <v>163.775</v>
      </c>
      <c r="F28" s="29">
        <v>3</v>
      </c>
      <c r="G28" s="28">
        <v>0</v>
      </c>
      <c r="H28" s="29">
        <v>0</v>
      </c>
      <c r="I28" s="28">
        <v>0</v>
      </c>
      <c r="J28" s="29">
        <v>0</v>
      </c>
      <c r="K28" s="28">
        <v>0</v>
      </c>
      <c r="L28" s="30">
        <v>0</v>
      </c>
      <c r="M28" s="81">
        <v>549.637</v>
      </c>
      <c r="N28" s="79">
        <v>12</v>
      </c>
      <c r="O28" s="31">
        <v>67.263</v>
      </c>
      <c r="P28" s="29">
        <v>3</v>
      </c>
      <c r="Q28" s="28">
        <v>105.067</v>
      </c>
      <c r="R28" s="29">
        <v>11</v>
      </c>
      <c r="S28" s="98">
        <v>0</v>
      </c>
      <c r="T28" s="117">
        <f t="shared" si="1"/>
        <v>45.803</v>
      </c>
      <c r="U28" s="115">
        <f t="shared" si="2"/>
        <v>41.127</v>
      </c>
      <c r="V28" s="115">
        <f t="shared" si="3"/>
        <v>30.542827586206894</v>
      </c>
      <c r="W28" s="115">
        <f t="shared" si="4"/>
        <v>54.59166666666667</v>
      </c>
      <c r="X28" s="68"/>
    </row>
    <row r="29" spans="1:25" s="58" customFormat="1" ht="18">
      <c r="A29" s="122">
        <v>19</v>
      </c>
      <c r="B29" s="125" t="s">
        <v>24</v>
      </c>
      <c r="C29" s="28">
        <f>1001.208-11.243</f>
        <v>989.9649999999999</v>
      </c>
      <c r="D29" s="77">
        <f>25-1</f>
        <v>24</v>
      </c>
      <c r="E29" s="28">
        <v>180.643</v>
      </c>
      <c r="F29" s="29">
        <v>3</v>
      </c>
      <c r="G29" s="28">
        <v>0</v>
      </c>
      <c r="H29" s="29">
        <v>0</v>
      </c>
      <c r="I29" s="28">
        <v>0</v>
      </c>
      <c r="J29" s="29">
        <v>0</v>
      </c>
      <c r="K29" s="28">
        <v>0</v>
      </c>
      <c r="L29" s="30">
        <v>0</v>
      </c>
      <c r="M29" s="81">
        <v>643.134</v>
      </c>
      <c r="N29" s="79">
        <v>12</v>
      </c>
      <c r="O29" s="31">
        <v>79.537</v>
      </c>
      <c r="P29" s="29">
        <v>2</v>
      </c>
      <c r="Q29" s="28">
        <f>97.894-11.243</f>
        <v>86.65100000000001</v>
      </c>
      <c r="R29" s="29">
        <f>8-1</f>
        <v>7</v>
      </c>
      <c r="S29" s="98">
        <v>57.078</v>
      </c>
      <c r="T29" s="117">
        <f t="shared" si="1"/>
        <v>53.595</v>
      </c>
      <c r="U29" s="115">
        <f t="shared" si="2"/>
        <v>51.619</v>
      </c>
      <c r="V29" s="115">
        <f t="shared" si="3"/>
        <v>41.24854166666666</v>
      </c>
      <c r="W29" s="115">
        <f t="shared" si="4"/>
        <v>60.214333333333336</v>
      </c>
      <c r="X29" s="80"/>
      <c r="Y29" s="60"/>
    </row>
    <row r="30" spans="1:24" s="58" customFormat="1" ht="18">
      <c r="A30" s="122">
        <v>20</v>
      </c>
      <c r="B30" s="125" t="s">
        <v>25</v>
      </c>
      <c r="C30" s="28">
        <v>937.33</v>
      </c>
      <c r="D30" s="77">
        <v>27</v>
      </c>
      <c r="E30" s="28">
        <v>90.44</v>
      </c>
      <c r="F30" s="29">
        <v>2</v>
      </c>
      <c r="G30" s="28">
        <v>0</v>
      </c>
      <c r="H30" s="29">
        <v>0</v>
      </c>
      <c r="I30" s="28">
        <v>0</v>
      </c>
      <c r="J30" s="29">
        <v>0</v>
      </c>
      <c r="K30" s="28">
        <v>0</v>
      </c>
      <c r="L30" s="30">
        <v>0</v>
      </c>
      <c r="M30" s="81">
        <v>709.087</v>
      </c>
      <c r="N30" s="79">
        <v>15</v>
      </c>
      <c r="O30" s="31">
        <v>37.903</v>
      </c>
      <c r="P30" s="29">
        <v>2</v>
      </c>
      <c r="Q30" s="28">
        <v>99.9</v>
      </c>
      <c r="R30" s="29">
        <v>8</v>
      </c>
      <c r="S30" s="98">
        <v>59.5</v>
      </c>
      <c r="T30" s="117">
        <f t="shared" si="1"/>
        <v>47.272</v>
      </c>
      <c r="U30" s="115">
        <f t="shared" si="2"/>
        <v>43.941</v>
      </c>
      <c r="V30" s="115">
        <f t="shared" si="3"/>
        <v>34.71592592592593</v>
      </c>
      <c r="W30" s="115">
        <f t="shared" si="4"/>
        <v>45.22</v>
      </c>
      <c r="X30" s="80"/>
    </row>
    <row r="31" spans="1:24" s="58" customFormat="1" ht="18">
      <c r="A31" s="122">
        <v>21</v>
      </c>
      <c r="B31" s="125" t="s">
        <v>26</v>
      </c>
      <c r="C31" s="28">
        <f>3122.008+14.856-8.654</f>
        <v>3128.21</v>
      </c>
      <c r="D31" s="77">
        <f>86-1</f>
        <v>85</v>
      </c>
      <c r="E31" s="28">
        <v>368.02</v>
      </c>
      <c r="F31" s="29">
        <f>7-1</f>
        <v>6</v>
      </c>
      <c r="G31" s="28">
        <v>0</v>
      </c>
      <c r="H31" s="29">
        <v>0</v>
      </c>
      <c r="I31" s="28">
        <v>0</v>
      </c>
      <c r="J31" s="29">
        <v>0</v>
      </c>
      <c r="K31" s="28">
        <v>0</v>
      </c>
      <c r="L31" s="30">
        <v>0</v>
      </c>
      <c r="M31" s="81">
        <v>2122.728</v>
      </c>
      <c r="N31" s="79">
        <f>44-1</f>
        <v>43</v>
      </c>
      <c r="O31" s="31">
        <f>313.208+14.856-8.654</f>
        <v>319.41</v>
      </c>
      <c r="P31" s="29">
        <f>11-1</f>
        <v>10</v>
      </c>
      <c r="Q31" s="28">
        <v>318.052</v>
      </c>
      <c r="R31" s="29">
        <v>25</v>
      </c>
      <c r="S31" s="98">
        <v>48.293</v>
      </c>
      <c r="T31" s="117">
        <f t="shared" si="1"/>
        <v>49.366</v>
      </c>
      <c r="U31" s="115">
        <f t="shared" si="2"/>
        <v>46.078</v>
      </c>
      <c r="V31" s="115">
        <f t="shared" si="3"/>
        <v>36.802470588235295</v>
      </c>
      <c r="W31" s="115">
        <f t="shared" si="4"/>
        <v>61.336666666666666</v>
      </c>
      <c r="X31" s="80"/>
    </row>
    <row r="32" spans="1:24" s="58" customFormat="1" ht="18">
      <c r="A32" s="122">
        <v>22</v>
      </c>
      <c r="B32" s="125" t="s">
        <v>27</v>
      </c>
      <c r="C32" s="28">
        <f>2046.578+18.109</f>
        <v>2064.687</v>
      </c>
      <c r="D32" s="77">
        <v>54</v>
      </c>
      <c r="E32" s="28">
        <v>365.995</v>
      </c>
      <c r="F32" s="29">
        <v>7</v>
      </c>
      <c r="G32" s="28">
        <v>0</v>
      </c>
      <c r="H32" s="29">
        <v>0</v>
      </c>
      <c r="I32" s="28">
        <v>0</v>
      </c>
      <c r="J32" s="29">
        <v>0</v>
      </c>
      <c r="K32" s="28">
        <v>0</v>
      </c>
      <c r="L32" s="30">
        <v>0</v>
      </c>
      <c r="M32" s="81">
        <f>1275.401+18.109</f>
        <v>1293.51</v>
      </c>
      <c r="N32" s="79">
        <v>30</v>
      </c>
      <c r="O32" s="31">
        <v>213.631</v>
      </c>
      <c r="P32" s="29">
        <v>5</v>
      </c>
      <c r="Q32" s="28">
        <v>191.552</v>
      </c>
      <c r="R32" s="29">
        <v>12</v>
      </c>
      <c r="S32" s="98">
        <v>150.04</v>
      </c>
      <c r="T32" s="117">
        <f t="shared" si="1"/>
        <v>43.117</v>
      </c>
      <c r="U32" s="115">
        <f t="shared" si="2"/>
        <v>43.061</v>
      </c>
      <c r="V32" s="115">
        <f t="shared" si="3"/>
        <v>38.234944444444444</v>
      </c>
      <c r="W32" s="115">
        <f t="shared" si="4"/>
        <v>52.285000000000004</v>
      </c>
      <c r="X32" s="68"/>
    </row>
    <row r="33" spans="1:24" s="58" customFormat="1" ht="18">
      <c r="A33" s="122">
        <v>23</v>
      </c>
      <c r="B33" s="125" t="s">
        <v>28</v>
      </c>
      <c r="C33" s="28">
        <f>2295.968+16.169</f>
        <v>2312.1369999999997</v>
      </c>
      <c r="D33" s="77">
        <v>65</v>
      </c>
      <c r="E33" s="28">
        <v>472.657</v>
      </c>
      <c r="F33" s="29">
        <v>7</v>
      </c>
      <c r="G33" s="28">
        <v>0</v>
      </c>
      <c r="H33" s="29">
        <v>0</v>
      </c>
      <c r="I33" s="28">
        <v>0</v>
      </c>
      <c r="J33" s="29">
        <v>0</v>
      </c>
      <c r="K33" s="28">
        <v>0</v>
      </c>
      <c r="L33" s="30">
        <v>0</v>
      </c>
      <c r="M33" s="81">
        <f>1574.548+16.169</f>
        <v>1590.717</v>
      </c>
      <c r="N33" s="29">
        <v>37</v>
      </c>
      <c r="O33" s="31">
        <v>40.136</v>
      </c>
      <c r="P33" s="29">
        <f>1</f>
        <v>1</v>
      </c>
      <c r="Q33" s="28">
        <v>208.627</v>
      </c>
      <c r="R33" s="29">
        <v>20</v>
      </c>
      <c r="S33" s="98">
        <v>137.5</v>
      </c>
      <c r="T33" s="117">
        <f t="shared" si="1"/>
        <v>42.992</v>
      </c>
      <c r="U33" s="115">
        <f t="shared" si="2"/>
        <v>42.917</v>
      </c>
      <c r="V33" s="115">
        <f t="shared" si="3"/>
        <v>35.57133846153846</v>
      </c>
      <c r="W33" s="115">
        <f t="shared" si="4"/>
        <v>67.52242857142856</v>
      </c>
      <c r="X33" s="68"/>
    </row>
    <row r="34" spans="1:24" s="58" customFormat="1" ht="18.75" thickBot="1">
      <c r="A34" s="123">
        <v>24</v>
      </c>
      <c r="B34" s="124" t="s">
        <v>29</v>
      </c>
      <c r="C34" s="32">
        <f>859.014+23.613-5.5</f>
        <v>877.127</v>
      </c>
      <c r="D34" s="82">
        <f>30-1</f>
        <v>29</v>
      </c>
      <c r="E34" s="32">
        <v>166.703</v>
      </c>
      <c r="F34" s="33">
        <v>3</v>
      </c>
      <c r="G34" s="32">
        <v>0</v>
      </c>
      <c r="H34" s="33">
        <v>0</v>
      </c>
      <c r="I34" s="32">
        <v>0</v>
      </c>
      <c r="J34" s="33">
        <v>0</v>
      </c>
      <c r="K34" s="32">
        <v>0</v>
      </c>
      <c r="L34" s="34">
        <v>0</v>
      </c>
      <c r="M34" s="66">
        <f>540.516+23.613</f>
        <v>564.1289999999999</v>
      </c>
      <c r="N34" s="67">
        <v>14</v>
      </c>
      <c r="O34" s="35">
        <v>47.368</v>
      </c>
      <c r="P34" s="33">
        <v>1</v>
      </c>
      <c r="Q34" s="32">
        <f>104.427-5.5</f>
        <v>98.927</v>
      </c>
      <c r="R34" s="33">
        <f>12-1</f>
        <v>11</v>
      </c>
      <c r="S34" s="96">
        <v>15.922</v>
      </c>
      <c r="T34" s="117">
        <f t="shared" si="1"/>
        <v>40.295</v>
      </c>
      <c r="U34" s="115">
        <f t="shared" si="2"/>
        <v>40.766</v>
      </c>
      <c r="V34" s="115">
        <f t="shared" si="3"/>
        <v>30.245758620689653</v>
      </c>
      <c r="W34" s="115">
        <f t="shared" si="4"/>
        <v>55.56766666666667</v>
      </c>
      <c r="X34" s="68"/>
    </row>
    <row r="35" spans="1:24" s="58" customFormat="1" ht="18.75" thickBot="1">
      <c r="A35" s="127" t="s">
        <v>30</v>
      </c>
      <c r="B35" s="128"/>
      <c r="C35" s="20">
        <f aca="true" t="shared" si="7" ref="C35:S35">SUM(C21:C34)</f>
        <v>17884.487</v>
      </c>
      <c r="D35" s="21">
        <f t="shared" si="7"/>
        <v>525</v>
      </c>
      <c r="E35" s="20">
        <f t="shared" si="7"/>
        <v>2809.501</v>
      </c>
      <c r="F35" s="21">
        <f t="shared" si="7"/>
        <v>50</v>
      </c>
      <c r="G35" s="20">
        <f t="shared" si="7"/>
        <v>0</v>
      </c>
      <c r="H35" s="21">
        <f t="shared" si="7"/>
        <v>0</v>
      </c>
      <c r="I35" s="20">
        <f t="shared" si="7"/>
        <v>0</v>
      </c>
      <c r="J35" s="21">
        <f t="shared" si="7"/>
        <v>0</v>
      </c>
      <c r="K35" s="20">
        <f t="shared" si="7"/>
        <v>0</v>
      </c>
      <c r="L35" s="22">
        <f t="shared" si="7"/>
        <v>0</v>
      </c>
      <c r="M35" s="23">
        <f t="shared" si="7"/>
        <v>12904.452999999998</v>
      </c>
      <c r="N35" s="24">
        <f t="shared" si="7"/>
        <v>295</v>
      </c>
      <c r="O35" s="25">
        <f t="shared" si="7"/>
        <v>1277.1390000000001</v>
      </c>
      <c r="P35" s="21">
        <f t="shared" si="7"/>
        <v>40</v>
      </c>
      <c r="Q35" s="21">
        <f t="shared" si="7"/>
        <v>1781.3549999999998</v>
      </c>
      <c r="R35" s="21">
        <f t="shared" si="7"/>
        <v>162</v>
      </c>
      <c r="S35" s="22">
        <f t="shared" si="7"/>
        <v>646.668</v>
      </c>
      <c r="T35" s="118"/>
      <c r="U35" s="115"/>
      <c r="V35" s="115"/>
      <c r="W35" s="115"/>
      <c r="X35" s="68"/>
    </row>
    <row r="36" spans="1:24" s="58" customFormat="1" ht="18.75" thickBot="1">
      <c r="A36" s="127" t="s">
        <v>31</v>
      </c>
      <c r="B36" s="128"/>
      <c r="C36" s="20">
        <f>C35+C19+C8</f>
        <v>22981.382</v>
      </c>
      <c r="D36" s="21">
        <f>D35+D19+D8</f>
        <v>692</v>
      </c>
      <c r="E36" s="20">
        <f>E35+E19+E8</f>
        <v>3410.2110000000002</v>
      </c>
      <c r="F36" s="21">
        <f>F35+F19+F8</f>
        <v>61</v>
      </c>
      <c r="G36" s="20">
        <f aca="true" t="shared" si="8" ref="G36:Q36">G8+G19+G35</f>
        <v>0</v>
      </c>
      <c r="H36" s="21">
        <f t="shared" si="8"/>
        <v>0</v>
      </c>
      <c r="I36" s="20">
        <f t="shared" si="8"/>
        <v>0</v>
      </c>
      <c r="J36" s="21">
        <f t="shared" si="8"/>
        <v>0</v>
      </c>
      <c r="K36" s="20">
        <f t="shared" si="8"/>
        <v>0</v>
      </c>
      <c r="L36" s="22">
        <f t="shared" si="8"/>
        <v>0</v>
      </c>
      <c r="M36" s="23">
        <f t="shared" si="8"/>
        <v>16335.723999999998</v>
      </c>
      <c r="N36" s="24">
        <f t="shared" si="8"/>
        <v>375</v>
      </c>
      <c r="O36" s="25">
        <f t="shared" si="8"/>
        <v>1541.863</v>
      </c>
      <c r="P36" s="21">
        <f t="shared" si="8"/>
        <v>48</v>
      </c>
      <c r="Q36" s="21">
        <f t="shared" si="8"/>
        <v>2581.544</v>
      </c>
      <c r="R36" s="21">
        <f>R8+R19+R35</f>
        <v>230</v>
      </c>
      <c r="S36" s="22">
        <f>S8+S19+S35</f>
        <v>728.0840000000001</v>
      </c>
      <c r="T36" s="118"/>
      <c r="U36" s="115"/>
      <c r="V36" s="115"/>
      <c r="W36" s="115"/>
      <c r="X36" s="68"/>
    </row>
    <row r="37" spans="1:24" s="58" customFormat="1" ht="18">
      <c r="A37" s="129"/>
      <c r="B37" s="130" t="s">
        <v>32</v>
      </c>
      <c r="C37" s="83"/>
      <c r="D37" s="26"/>
      <c r="E37" s="27"/>
      <c r="F37" s="26"/>
      <c r="G37" s="27"/>
      <c r="H37" s="70"/>
      <c r="I37" s="70"/>
      <c r="J37" s="71"/>
      <c r="K37" s="70"/>
      <c r="L37" s="72"/>
      <c r="M37" s="73"/>
      <c r="N37" s="74"/>
      <c r="O37" s="75"/>
      <c r="P37" s="76"/>
      <c r="Q37" s="70"/>
      <c r="R37" s="76"/>
      <c r="S37" s="97"/>
      <c r="T37" s="117"/>
      <c r="U37" s="115"/>
      <c r="V37" s="115"/>
      <c r="W37" s="115"/>
      <c r="X37" s="68"/>
    </row>
    <row r="38" spans="1:24" s="58" customFormat="1" ht="18">
      <c r="A38" s="122">
        <v>25</v>
      </c>
      <c r="B38" s="125" t="s">
        <v>33</v>
      </c>
      <c r="C38" s="28">
        <f>1043.321-68.854</f>
        <v>974.4669999999999</v>
      </c>
      <c r="D38" s="77">
        <f>41-6</f>
        <v>35</v>
      </c>
      <c r="E38" s="28">
        <v>141.646</v>
      </c>
      <c r="F38" s="29">
        <v>3</v>
      </c>
      <c r="G38" s="28">
        <v>0</v>
      </c>
      <c r="H38" s="29">
        <v>0</v>
      </c>
      <c r="I38" s="28">
        <v>0</v>
      </c>
      <c r="J38" s="29">
        <v>0</v>
      </c>
      <c r="K38" s="28">
        <v>0</v>
      </c>
      <c r="L38" s="30">
        <v>0</v>
      </c>
      <c r="M38" s="78">
        <f>726.282-42.602</f>
        <v>683.6800000000001</v>
      </c>
      <c r="N38" s="79">
        <f>22-3</f>
        <v>19</v>
      </c>
      <c r="O38" s="31">
        <v>18.575</v>
      </c>
      <c r="P38" s="29">
        <v>1</v>
      </c>
      <c r="Q38" s="28">
        <f>156.818-26.252</f>
        <v>130.566</v>
      </c>
      <c r="R38" s="29">
        <f>15-3</f>
        <v>12</v>
      </c>
      <c r="S38" s="98">
        <v>0</v>
      </c>
      <c r="T38" s="117">
        <f t="shared" si="1"/>
        <v>35.983</v>
      </c>
      <c r="U38" s="115">
        <f t="shared" si="2"/>
        <v>35.113</v>
      </c>
      <c r="V38" s="115">
        <f t="shared" si="3"/>
        <v>27.84191428571428</v>
      </c>
      <c r="W38" s="115">
        <f t="shared" si="4"/>
        <v>47.21533333333333</v>
      </c>
      <c r="X38" s="68"/>
    </row>
    <row r="39" spans="1:24" s="58" customFormat="1" ht="18">
      <c r="A39" s="122">
        <v>26</v>
      </c>
      <c r="B39" s="125" t="s">
        <v>34</v>
      </c>
      <c r="C39" s="28">
        <f>845.669-2.259</f>
        <v>843.41</v>
      </c>
      <c r="D39" s="77">
        <f>38-1</f>
        <v>37</v>
      </c>
      <c r="E39" s="28">
        <v>101.154</v>
      </c>
      <c r="F39" s="29">
        <v>3</v>
      </c>
      <c r="G39" s="28">
        <v>0</v>
      </c>
      <c r="H39" s="29">
        <v>0</v>
      </c>
      <c r="I39" s="28">
        <v>0</v>
      </c>
      <c r="J39" s="29">
        <v>0</v>
      </c>
      <c r="K39" s="28">
        <v>0</v>
      </c>
      <c r="L39" s="30">
        <v>0</v>
      </c>
      <c r="M39" s="78">
        <v>533.388</v>
      </c>
      <c r="N39" s="79">
        <v>18</v>
      </c>
      <c r="O39" s="31">
        <f>77.781-2.259</f>
        <v>75.522</v>
      </c>
      <c r="P39" s="29">
        <f>4-1</f>
        <v>3</v>
      </c>
      <c r="Q39" s="28">
        <v>133.346</v>
      </c>
      <c r="R39" s="29">
        <v>13</v>
      </c>
      <c r="S39" s="98">
        <v>13.983</v>
      </c>
      <c r="T39" s="117">
        <f t="shared" si="1"/>
        <v>29.633</v>
      </c>
      <c r="U39" s="115">
        <f t="shared" si="2"/>
        <v>28.996</v>
      </c>
      <c r="V39" s="115">
        <f t="shared" si="3"/>
        <v>22.794864864864863</v>
      </c>
      <c r="W39" s="115">
        <f t="shared" si="4"/>
        <v>33.717999999999996</v>
      </c>
      <c r="X39" s="68"/>
    </row>
    <row r="40" spans="1:24" s="58" customFormat="1" ht="18">
      <c r="A40" s="122">
        <v>27</v>
      </c>
      <c r="B40" s="125" t="s">
        <v>35</v>
      </c>
      <c r="C40" s="28">
        <f>977.245-11.15</f>
        <v>966.095</v>
      </c>
      <c r="D40" s="77">
        <f>41-2</f>
        <v>39</v>
      </c>
      <c r="E40" s="28">
        <v>132.792</v>
      </c>
      <c r="F40" s="29">
        <v>3</v>
      </c>
      <c r="G40" s="28">
        <v>0</v>
      </c>
      <c r="H40" s="29">
        <v>0</v>
      </c>
      <c r="I40" s="28">
        <v>0</v>
      </c>
      <c r="J40" s="29">
        <v>0</v>
      </c>
      <c r="K40" s="28">
        <v>0</v>
      </c>
      <c r="L40" s="30">
        <v>0</v>
      </c>
      <c r="M40" s="78">
        <v>637.767</v>
      </c>
      <c r="N40" s="79">
        <v>19</v>
      </c>
      <c r="O40" s="31">
        <v>58.435</v>
      </c>
      <c r="P40" s="29">
        <v>3</v>
      </c>
      <c r="Q40" s="28">
        <f>148.251-11.15</f>
        <v>137.101</v>
      </c>
      <c r="R40" s="29">
        <f>16-2</f>
        <v>14</v>
      </c>
      <c r="S40" s="98">
        <v>0</v>
      </c>
      <c r="T40" s="117">
        <f t="shared" si="1"/>
        <v>33.567</v>
      </c>
      <c r="U40" s="115">
        <f t="shared" si="2"/>
        <v>31.646</v>
      </c>
      <c r="V40" s="115">
        <f t="shared" si="3"/>
        <v>24.77166666666667</v>
      </c>
      <c r="W40" s="115">
        <f t="shared" si="4"/>
        <v>44.264</v>
      </c>
      <c r="X40" s="68"/>
    </row>
    <row r="41" spans="1:24" s="58" customFormat="1" ht="18.75" thickBot="1">
      <c r="A41" s="123">
        <v>28</v>
      </c>
      <c r="B41" s="124" t="s">
        <v>36</v>
      </c>
      <c r="C41" s="32">
        <f>142.53+433.758-70.746</f>
        <v>505.54200000000003</v>
      </c>
      <c r="D41" s="82">
        <f>18+6-5</f>
        <v>19</v>
      </c>
      <c r="E41" s="32">
        <f>61.36-11.424</f>
        <v>49.936</v>
      </c>
      <c r="F41" s="33">
        <f>2-1</f>
        <v>1</v>
      </c>
      <c r="G41" s="32">
        <v>0</v>
      </c>
      <c r="H41" s="33">
        <v>0</v>
      </c>
      <c r="I41" s="32">
        <v>0</v>
      </c>
      <c r="J41" s="33">
        <v>0</v>
      </c>
      <c r="K41" s="32">
        <v>0</v>
      </c>
      <c r="L41" s="34">
        <v>0</v>
      </c>
      <c r="M41" s="84">
        <f>94.079-45.408</f>
        <v>48.67099999999999</v>
      </c>
      <c r="N41" s="67">
        <f>4-3</f>
        <v>1</v>
      </c>
      <c r="O41" s="35">
        <f>187.483+117.616</f>
        <v>305.099</v>
      </c>
      <c r="P41" s="33">
        <f>5+4</f>
        <v>9</v>
      </c>
      <c r="Q41" s="32">
        <f>90.836+24.914-13.914</f>
        <v>101.836</v>
      </c>
      <c r="R41" s="33">
        <f>7+1-1</f>
        <v>7</v>
      </c>
      <c r="S41" s="96">
        <f>7.98+33.705</f>
        <v>41.685</v>
      </c>
      <c r="T41" s="117">
        <f t="shared" si="1"/>
        <v>48.671</v>
      </c>
      <c r="U41" s="115">
        <f t="shared" si="2"/>
        <v>35.377</v>
      </c>
      <c r="V41" s="115">
        <f t="shared" si="3"/>
        <v>26.60747368421053</v>
      </c>
      <c r="W41" s="115">
        <f t="shared" si="4"/>
        <v>49.936</v>
      </c>
      <c r="X41" s="68"/>
    </row>
    <row r="42" spans="1:24" s="58" customFormat="1" ht="18.75" thickBot="1">
      <c r="A42" s="127" t="s">
        <v>37</v>
      </c>
      <c r="B42" s="128"/>
      <c r="C42" s="20">
        <f aca="true" t="shared" si="9" ref="C42:L42">SUM(C38:C41)</f>
        <v>3289.5139999999997</v>
      </c>
      <c r="D42" s="21">
        <f t="shared" si="9"/>
        <v>130</v>
      </c>
      <c r="E42" s="20">
        <f t="shared" si="9"/>
        <v>425.52799999999996</v>
      </c>
      <c r="F42" s="21">
        <f t="shared" si="9"/>
        <v>10</v>
      </c>
      <c r="G42" s="20">
        <f t="shared" si="9"/>
        <v>0</v>
      </c>
      <c r="H42" s="21">
        <f t="shared" si="9"/>
        <v>0</v>
      </c>
      <c r="I42" s="20">
        <f t="shared" si="9"/>
        <v>0</v>
      </c>
      <c r="J42" s="21">
        <f t="shared" si="9"/>
        <v>0</v>
      </c>
      <c r="K42" s="20">
        <f t="shared" si="9"/>
        <v>0</v>
      </c>
      <c r="L42" s="22">
        <f t="shared" si="9"/>
        <v>0</v>
      </c>
      <c r="M42" s="23">
        <f aca="true" t="shared" si="10" ref="M42:S42">SUM(M38:M41)</f>
        <v>1903.5060000000003</v>
      </c>
      <c r="N42" s="24">
        <f t="shared" si="10"/>
        <v>57</v>
      </c>
      <c r="O42" s="25">
        <f t="shared" si="10"/>
        <v>457.631</v>
      </c>
      <c r="P42" s="21">
        <f t="shared" si="10"/>
        <v>16</v>
      </c>
      <c r="Q42" s="21">
        <f t="shared" si="10"/>
        <v>502.84900000000005</v>
      </c>
      <c r="R42" s="21">
        <f t="shared" si="10"/>
        <v>46</v>
      </c>
      <c r="S42" s="22">
        <f t="shared" si="10"/>
        <v>55.668000000000006</v>
      </c>
      <c r="T42" s="118"/>
      <c r="U42" s="115"/>
      <c r="V42" s="115"/>
      <c r="W42" s="115"/>
      <c r="X42" s="68"/>
    </row>
    <row r="43" spans="1:24" s="58" customFormat="1" ht="18">
      <c r="A43" s="129"/>
      <c r="B43" s="130" t="s">
        <v>38</v>
      </c>
      <c r="C43" s="83"/>
      <c r="D43" s="26"/>
      <c r="E43" s="27"/>
      <c r="F43" s="26"/>
      <c r="G43" s="27"/>
      <c r="H43" s="70"/>
      <c r="I43" s="70"/>
      <c r="J43" s="71"/>
      <c r="K43" s="70"/>
      <c r="L43" s="72"/>
      <c r="M43" s="73"/>
      <c r="N43" s="74"/>
      <c r="O43" s="75"/>
      <c r="P43" s="76"/>
      <c r="Q43" s="70"/>
      <c r="R43" s="76"/>
      <c r="S43" s="97"/>
      <c r="T43" s="117"/>
      <c r="U43" s="115"/>
      <c r="V43" s="115"/>
      <c r="W43" s="115"/>
      <c r="X43" s="68"/>
    </row>
    <row r="44" spans="1:24" s="58" customFormat="1" ht="18">
      <c r="A44" s="122">
        <v>29</v>
      </c>
      <c r="B44" s="125" t="s">
        <v>39</v>
      </c>
      <c r="C44" s="28">
        <f>2027.719+17.596-11.885</f>
        <v>2033.43</v>
      </c>
      <c r="D44" s="77">
        <f>72-1</f>
        <v>71</v>
      </c>
      <c r="E44" s="28">
        <v>283.642</v>
      </c>
      <c r="F44" s="29">
        <v>6</v>
      </c>
      <c r="G44" s="28"/>
      <c r="H44" s="29"/>
      <c r="I44" s="28"/>
      <c r="J44" s="29"/>
      <c r="K44" s="28"/>
      <c r="L44" s="30"/>
      <c r="M44" s="78">
        <f>1368.665+17.596</f>
        <v>1386.261</v>
      </c>
      <c r="N44" s="79">
        <v>37</v>
      </c>
      <c r="O44" s="31">
        <f>125.902-11.885</f>
        <v>114.017</v>
      </c>
      <c r="P44" s="29">
        <f>6-1</f>
        <v>5</v>
      </c>
      <c r="Q44" s="28">
        <v>249.51</v>
      </c>
      <c r="R44" s="29">
        <v>22</v>
      </c>
      <c r="S44" s="98">
        <v>0</v>
      </c>
      <c r="T44" s="117">
        <f t="shared" si="1"/>
        <v>37.467</v>
      </c>
      <c r="U44" s="115">
        <f t="shared" si="2"/>
        <v>35.721</v>
      </c>
      <c r="V44" s="115">
        <f t="shared" si="3"/>
        <v>28.639859154929578</v>
      </c>
      <c r="W44" s="115">
        <f t="shared" si="4"/>
        <v>47.273666666666664</v>
      </c>
      <c r="X44" s="80"/>
    </row>
    <row r="45" spans="1:24" s="58" customFormat="1" ht="18">
      <c r="A45" s="122">
        <v>30</v>
      </c>
      <c r="B45" s="125" t="s">
        <v>40</v>
      </c>
      <c r="C45" s="28">
        <f>1438.954-31.224</f>
        <v>1407.73</v>
      </c>
      <c r="D45" s="77">
        <f>51-1</f>
        <v>50</v>
      </c>
      <c r="E45" s="28">
        <v>209.284</v>
      </c>
      <c r="F45" s="29">
        <v>5</v>
      </c>
      <c r="G45" s="28"/>
      <c r="H45" s="29"/>
      <c r="I45" s="28"/>
      <c r="J45" s="29"/>
      <c r="K45" s="28"/>
      <c r="L45" s="30"/>
      <c r="M45" s="78">
        <v>922.933</v>
      </c>
      <c r="N45" s="79">
        <v>25</v>
      </c>
      <c r="O45" s="31">
        <f>120.33-31.224</f>
        <v>89.106</v>
      </c>
      <c r="P45" s="29">
        <f>4-1</f>
        <v>3</v>
      </c>
      <c r="Q45" s="28">
        <v>186.407</v>
      </c>
      <c r="R45" s="29">
        <f>17</f>
        <v>17</v>
      </c>
      <c r="S45" s="98">
        <v>42.202</v>
      </c>
      <c r="T45" s="117">
        <f t="shared" si="1"/>
        <v>36.917</v>
      </c>
      <c r="U45" s="115">
        <f t="shared" si="2"/>
        <v>36.144</v>
      </c>
      <c r="V45" s="115">
        <f t="shared" si="3"/>
        <v>28.154600000000002</v>
      </c>
      <c r="W45" s="115">
        <f t="shared" si="4"/>
        <v>41.8568</v>
      </c>
      <c r="X45" s="80"/>
    </row>
    <row r="46" spans="1:24" s="58" customFormat="1" ht="18">
      <c r="A46" s="122">
        <v>31</v>
      </c>
      <c r="B46" s="125" t="s">
        <v>41</v>
      </c>
      <c r="C46" s="28">
        <f>1725.712+81.246</f>
        <v>1806.958</v>
      </c>
      <c r="D46" s="77">
        <f>56+5</f>
        <v>61</v>
      </c>
      <c r="E46" s="28">
        <v>378.374</v>
      </c>
      <c r="F46" s="29">
        <v>5</v>
      </c>
      <c r="G46" s="28"/>
      <c r="H46" s="29"/>
      <c r="I46" s="28"/>
      <c r="J46" s="29"/>
      <c r="K46" s="28"/>
      <c r="L46" s="30"/>
      <c r="M46" s="78">
        <f>989.34+19.975</f>
        <v>1009.315</v>
      </c>
      <c r="N46" s="79">
        <v>24</v>
      </c>
      <c r="O46" s="31">
        <f>120.633-89.206</f>
        <v>31.426999999999992</v>
      </c>
      <c r="P46" s="29">
        <f>5-2</f>
        <v>3</v>
      </c>
      <c r="Q46" s="28">
        <f>237.365+61.271-28.37-1.637-3.785-3.275-16.377</f>
        <v>245.192</v>
      </c>
      <c r="R46" s="29">
        <f>22+4-3-1-1-1-1</f>
        <v>19</v>
      </c>
      <c r="S46" s="98">
        <v>15</v>
      </c>
      <c r="T46" s="117">
        <f t="shared" si="1"/>
        <v>42.055</v>
      </c>
      <c r="U46" s="115">
        <f t="shared" si="2"/>
        <v>38.546</v>
      </c>
      <c r="V46" s="115">
        <f t="shared" si="3"/>
        <v>29.622262295081967</v>
      </c>
      <c r="W46" s="115">
        <f t="shared" si="4"/>
        <v>75.6748</v>
      </c>
      <c r="X46" s="68"/>
    </row>
    <row r="47" spans="1:24" s="58" customFormat="1" ht="18">
      <c r="A47" s="122">
        <v>32</v>
      </c>
      <c r="B47" s="125" t="s">
        <v>42</v>
      </c>
      <c r="C47" s="28">
        <f>2203.189+20.075-7.255</f>
        <v>2216.0089999999996</v>
      </c>
      <c r="D47" s="77">
        <f>83-1</f>
        <v>82</v>
      </c>
      <c r="E47" s="28">
        <v>313.859</v>
      </c>
      <c r="F47" s="29">
        <v>8</v>
      </c>
      <c r="G47" s="28">
        <v>0</v>
      </c>
      <c r="H47" s="29">
        <v>0</v>
      </c>
      <c r="I47" s="28">
        <v>0</v>
      </c>
      <c r="J47" s="29">
        <v>0</v>
      </c>
      <c r="K47" s="28">
        <v>0</v>
      </c>
      <c r="L47" s="30">
        <v>0</v>
      </c>
      <c r="M47" s="78">
        <f>1550.045+20.075-7.255</f>
        <v>1562.865</v>
      </c>
      <c r="N47" s="79">
        <f>44-1</f>
        <v>43</v>
      </c>
      <c r="O47" s="31">
        <v>69.98</v>
      </c>
      <c r="P47" s="29">
        <v>4</v>
      </c>
      <c r="Q47" s="28">
        <v>269.305</v>
      </c>
      <c r="R47" s="29">
        <v>27</v>
      </c>
      <c r="S47" s="98">
        <v>129.708</v>
      </c>
      <c r="T47" s="117">
        <f t="shared" si="1"/>
        <v>36.346</v>
      </c>
      <c r="U47" s="115">
        <f t="shared" si="2"/>
        <v>34.741</v>
      </c>
      <c r="V47" s="115">
        <f t="shared" si="3"/>
        <v>27.024499999999996</v>
      </c>
      <c r="W47" s="115">
        <f t="shared" si="4"/>
        <v>39.232375</v>
      </c>
      <c r="X47" s="68"/>
    </row>
    <row r="48" spans="1:24" s="58" customFormat="1" ht="18">
      <c r="A48" s="122">
        <v>33</v>
      </c>
      <c r="B48" s="125" t="s">
        <v>43</v>
      </c>
      <c r="C48" s="28">
        <f>1824.817-15.88</f>
        <v>1808.937</v>
      </c>
      <c r="D48" s="77">
        <f>62-1</f>
        <v>61</v>
      </c>
      <c r="E48" s="28">
        <v>249.263</v>
      </c>
      <c r="F48" s="29">
        <v>6</v>
      </c>
      <c r="G48" s="28">
        <v>0</v>
      </c>
      <c r="H48" s="29">
        <v>0</v>
      </c>
      <c r="I48" s="28">
        <v>0</v>
      </c>
      <c r="J48" s="29">
        <v>0</v>
      </c>
      <c r="K48" s="28">
        <v>0</v>
      </c>
      <c r="L48" s="30">
        <v>0</v>
      </c>
      <c r="M48" s="78">
        <v>1148.327</v>
      </c>
      <c r="N48" s="79">
        <v>31</v>
      </c>
      <c r="O48" s="31">
        <v>151.621</v>
      </c>
      <c r="P48" s="29">
        <v>4</v>
      </c>
      <c r="Q48" s="28">
        <f>250.096-15.88</f>
        <v>234.216</v>
      </c>
      <c r="R48" s="29">
        <f>21-1</f>
        <v>20</v>
      </c>
      <c r="S48" s="98">
        <v>105.067</v>
      </c>
      <c r="T48" s="117">
        <f t="shared" si="1"/>
        <v>37.043</v>
      </c>
      <c r="U48" s="115">
        <f t="shared" si="2"/>
        <v>37.141</v>
      </c>
      <c r="V48" s="115">
        <f t="shared" si="3"/>
        <v>29.654704918032785</v>
      </c>
      <c r="W48" s="115">
        <f t="shared" si="4"/>
        <v>41.54383333333333</v>
      </c>
      <c r="X48" s="68"/>
    </row>
    <row r="49" spans="1:24" s="58" customFormat="1" ht="18">
      <c r="A49" s="122">
        <v>34</v>
      </c>
      <c r="B49" s="125" t="s">
        <v>44</v>
      </c>
      <c r="C49" s="28">
        <f>1279.917-11</f>
        <v>1268.917</v>
      </c>
      <c r="D49" s="77">
        <f>37-1</f>
        <v>36</v>
      </c>
      <c r="E49" s="28">
        <v>369.478</v>
      </c>
      <c r="F49" s="29">
        <v>6</v>
      </c>
      <c r="G49" s="28"/>
      <c r="H49" s="29"/>
      <c r="I49" s="28"/>
      <c r="J49" s="29"/>
      <c r="K49" s="28"/>
      <c r="L49" s="30"/>
      <c r="M49" s="78">
        <v>770.906</v>
      </c>
      <c r="N49" s="79">
        <v>22</v>
      </c>
      <c r="O49" s="31">
        <v>0</v>
      </c>
      <c r="P49" s="29">
        <v>0</v>
      </c>
      <c r="Q49" s="28">
        <f>139.533-11</f>
        <v>128.533</v>
      </c>
      <c r="R49" s="29">
        <f>9-1</f>
        <v>8</v>
      </c>
      <c r="S49" s="98">
        <v>106.865</v>
      </c>
      <c r="T49" s="117">
        <f t="shared" si="1"/>
        <v>35.041</v>
      </c>
      <c r="U49" s="115">
        <f t="shared" si="2"/>
        <v>35.041</v>
      </c>
      <c r="V49" s="115">
        <f t="shared" si="3"/>
        <v>35.24769444444444</v>
      </c>
      <c r="W49" s="115">
        <f t="shared" si="4"/>
        <v>61.57966666666667</v>
      </c>
      <c r="X49" s="68"/>
    </row>
    <row r="50" spans="1:24" s="58" customFormat="1" ht="18">
      <c r="A50" s="122">
        <v>35</v>
      </c>
      <c r="B50" s="125" t="s">
        <v>45</v>
      </c>
      <c r="C50" s="28">
        <f>1543.695-164.304</f>
        <v>1379.3909999999998</v>
      </c>
      <c r="D50" s="77">
        <f>51-9</f>
        <v>42</v>
      </c>
      <c r="E50" s="28">
        <v>342.815</v>
      </c>
      <c r="F50" s="29">
        <v>6</v>
      </c>
      <c r="G50" s="28">
        <v>0</v>
      </c>
      <c r="H50" s="29">
        <v>0</v>
      </c>
      <c r="I50" s="28">
        <v>0</v>
      </c>
      <c r="J50" s="29">
        <v>0</v>
      </c>
      <c r="K50" s="28">
        <v>0</v>
      </c>
      <c r="L50" s="30">
        <v>0</v>
      </c>
      <c r="M50" s="78">
        <f>884.798-63.482</f>
        <v>821.316</v>
      </c>
      <c r="N50" s="79">
        <f>19-1</f>
        <v>18</v>
      </c>
      <c r="O50" s="31">
        <f>140.936-100.822</f>
        <v>40.114000000000004</v>
      </c>
      <c r="P50" s="29">
        <f>11-8</f>
        <v>3</v>
      </c>
      <c r="Q50" s="28">
        <v>175.146</v>
      </c>
      <c r="R50" s="29">
        <v>15</v>
      </c>
      <c r="S50" s="98">
        <v>80</v>
      </c>
      <c r="T50" s="117">
        <f t="shared" si="1"/>
        <v>45.629</v>
      </c>
      <c r="U50" s="115">
        <f t="shared" si="2"/>
        <v>41.02</v>
      </c>
      <c r="V50" s="115">
        <f t="shared" si="3"/>
        <v>32.842642857142856</v>
      </c>
      <c r="W50" s="115">
        <f t="shared" si="4"/>
        <v>57.13583333333333</v>
      </c>
      <c r="X50" s="68"/>
    </row>
    <row r="51" spans="1:24" s="58" customFormat="1" ht="18">
      <c r="A51" s="122">
        <v>36</v>
      </c>
      <c r="B51" s="125" t="s">
        <v>46</v>
      </c>
      <c r="C51" s="28">
        <f>2720.152-16.825</f>
        <v>2703.327</v>
      </c>
      <c r="D51" s="77">
        <f>72-2</f>
        <v>70</v>
      </c>
      <c r="E51" s="28">
        <v>461.618</v>
      </c>
      <c r="F51" s="29">
        <v>8</v>
      </c>
      <c r="G51" s="28"/>
      <c r="H51" s="29"/>
      <c r="I51" s="28"/>
      <c r="J51" s="29"/>
      <c r="K51" s="28"/>
      <c r="L51" s="30"/>
      <c r="M51" s="78">
        <v>1871.881</v>
      </c>
      <c r="N51" s="79">
        <v>39</v>
      </c>
      <c r="O51" s="31">
        <v>112.147</v>
      </c>
      <c r="P51" s="29">
        <v>3</v>
      </c>
      <c r="Q51" s="28">
        <f>274.506-16.825</f>
        <v>257.681</v>
      </c>
      <c r="R51" s="29">
        <f>22-2</f>
        <v>20</v>
      </c>
      <c r="S51" s="98">
        <v>60.765</v>
      </c>
      <c r="T51" s="117">
        <f t="shared" si="1"/>
        <v>47.997</v>
      </c>
      <c r="U51" s="115">
        <f t="shared" si="2"/>
        <v>47.239</v>
      </c>
      <c r="V51" s="115">
        <f t="shared" si="3"/>
        <v>38.61895714285715</v>
      </c>
      <c r="W51" s="115">
        <f t="shared" si="4"/>
        <v>57.70225</v>
      </c>
      <c r="X51" s="68"/>
    </row>
    <row r="52" spans="1:24" s="58" customFormat="1" ht="18.75" thickBot="1">
      <c r="A52" s="123">
        <v>37</v>
      </c>
      <c r="B52" s="124" t="s">
        <v>47</v>
      </c>
      <c r="C52" s="32">
        <f>1659.429+19.45-9.412</f>
        <v>1669.467</v>
      </c>
      <c r="D52" s="82">
        <f>56-1</f>
        <v>55</v>
      </c>
      <c r="E52" s="32">
        <v>287.819</v>
      </c>
      <c r="F52" s="33">
        <v>5</v>
      </c>
      <c r="G52" s="32">
        <v>0</v>
      </c>
      <c r="H52" s="33">
        <v>0</v>
      </c>
      <c r="I52" s="32">
        <v>0</v>
      </c>
      <c r="J52" s="33">
        <v>0</v>
      </c>
      <c r="K52" s="32">
        <v>0</v>
      </c>
      <c r="L52" s="34">
        <v>0</v>
      </c>
      <c r="M52" s="84">
        <f>1088.843+19.45</f>
        <v>1108.2930000000001</v>
      </c>
      <c r="N52" s="67">
        <v>29</v>
      </c>
      <c r="O52" s="35">
        <f>110.66-9.412</f>
        <v>101.24799999999999</v>
      </c>
      <c r="P52" s="33">
        <f>6-1</f>
        <v>5</v>
      </c>
      <c r="Q52" s="32">
        <v>172.107</v>
      </c>
      <c r="R52" s="33">
        <v>16</v>
      </c>
      <c r="S52" s="96">
        <v>113.088</v>
      </c>
      <c r="T52" s="117">
        <f t="shared" si="1"/>
        <v>38.217</v>
      </c>
      <c r="U52" s="115">
        <f t="shared" si="2"/>
        <v>35.575</v>
      </c>
      <c r="V52" s="115">
        <f t="shared" si="3"/>
        <v>30.353945454545457</v>
      </c>
      <c r="W52" s="115">
        <f t="shared" si="4"/>
        <v>57.5638</v>
      </c>
      <c r="X52" s="80"/>
    </row>
    <row r="53" spans="1:24" s="58" customFormat="1" ht="18.75" thickBot="1">
      <c r="A53" s="127" t="s">
        <v>48</v>
      </c>
      <c r="B53" s="128"/>
      <c r="C53" s="20">
        <f>SUM(C44:C52)</f>
        <v>16294.166000000001</v>
      </c>
      <c r="D53" s="21">
        <f>SUM(D44:D52)</f>
        <v>528</v>
      </c>
      <c r="E53" s="20">
        <f>SUM(E44:E52)</f>
        <v>2896.1519999999996</v>
      </c>
      <c r="F53" s="21">
        <f>SUM(F44:F52)</f>
        <v>55</v>
      </c>
      <c r="G53" s="20">
        <f aca="true" t="shared" si="11" ref="G53:S53">SUM(G44:G52)</f>
        <v>0</v>
      </c>
      <c r="H53" s="21">
        <f t="shared" si="11"/>
        <v>0</v>
      </c>
      <c r="I53" s="20">
        <f t="shared" si="11"/>
        <v>0</v>
      </c>
      <c r="J53" s="21">
        <f t="shared" si="11"/>
        <v>0</v>
      </c>
      <c r="K53" s="20">
        <f t="shared" si="11"/>
        <v>0</v>
      </c>
      <c r="L53" s="22">
        <f t="shared" si="11"/>
        <v>0</v>
      </c>
      <c r="M53" s="23">
        <f>SUM(M44:M52)</f>
        <v>10602.097</v>
      </c>
      <c r="N53" s="24">
        <f t="shared" si="11"/>
        <v>268</v>
      </c>
      <c r="O53" s="25">
        <f t="shared" si="11"/>
        <v>709.6600000000001</v>
      </c>
      <c r="P53" s="21">
        <f t="shared" si="11"/>
        <v>30</v>
      </c>
      <c r="Q53" s="21">
        <f t="shared" si="11"/>
        <v>1918.097</v>
      </c>
      <c r="R53" s="21">
        <f t="shared" si="11"/>
        <v>164</v>
      </c>
      <c r="S53" s="22">
        <f t="shared" si="11"/>
        <v>652.6949999999999</v>
      </c>
      <c r="T53" s="118"/>
      <c r="U53" s="115"/>
      <c r="V53" s="115"/>
      <c r="W53" s="115"/>
      <c r="X53" s="68"/>
    </row>
    <row r="54" spans="1:24" s="58" customFormat="1" ht="18.75" thickBot="1">
      <c r="A54" s="127" t="s">
        <v>49</v>
      </c>
      <c r="B54" s="128"/>
      <c r="C54" s="20">
        <f>C42+C53</f>
        <v>19583.68</v>
      </c>
      <c r="D54" s="21">
        <f>D42+D53</f>
        <v>658</v>
      </c>
      <c r="E54" s="20">
        <f aca="true" t="shared" si="12" ref="E54:S54">E42+E53</f>
        <v>3321.6799999999994</v>
      </c>
      <c r="F54" s="21">
        <f t="shared" si="12"/>
        <v>65</v>
      </c>
      <c r="G54" s="20">
        <f t="shared" si="12"/>
        <v>0</v>
      </c>
      <c r="H54" s="20">
        <f t="shared" si="12"/>
        <v>0</v>
      </c>
      <c r="I54" s="20">
        <f t="shared" si="12"/>
        <v>0</v>
      </c>
      <c r="J54" s="20">
        <f t="shared" si="12"/>
        <v>0</v>
      </c>
      <c r="K54" s="20">
        <f t="shared" si="12"/>
        <v>0</v>
      </c>
      <c r="L54" s="36">
        <f t="shared" si="12"/>
        <v>0</v>
      </c>
      <c r="M54" s="37">
        <f t="shared" si="12"/>
        <v>12505.603</v>
      </c>
      <c r="N54" s="24">
        <f t="shared" si="12"/>
        <v>325</v>
      </c>
      <c r="O54" s="38">
        <f t="shared" si="12"/>
        <v>1167.2910000000002</v>
      </c>
      <c r="P54" s="21">
        <f t="shared" si="12"/>
        <v>46</v>
      </c>
      <c r="Q54" s="20">
        <f t="shared" si="12"/>
        <v>2420.946</v>
      </c>
      <c r="R54" s="21">
        <f t="shared" si="12"/>
        <v>210</v>
      </c>
      <c r="S54" s="36">
        <f t="shared" si="12"/>
        <v>708.3629999999999</v>
      </c>
      <c r="T54" s="118"/>
      <c r="U54" s="115"/>
      <c r="V54" s="115"/>
      <c r="W54" s="115"/>
      <c r="X54" s="68"/>
    </row>
    <row r="55" spans="1:24" s="39" customFormat="1" ht="18.75" thickBot="1">
      <c r="A55" s="131">
        <v>38</v>
      </c>
      <c r="B55" s="132" t="s">
        <v>50</v>
      </c>
      <c r="C55" s="54">
        <f>2261.392-123.9</f>
        <v>2137.4919999999997</v>
      </c>
      <c r="D55" s="55">
        <f>79-7</f>
        <v>72</v>
      </c>
      <c r="E55" s="54">
        <v>316.822</v>
      </c>
      <c r="F55" s="55">
        <v>6</v>
      </c>
      <c r="G55" s="54">
        <v>0</v>
      </c>
      <c r="H55" s="55">
        <v>0</v>
      </c>
      <c r="I55" s="54">
        <v>0</v>
      </c>
      <c r="J55" s="55">
        <v>0</v>
      </c>
      <c r="K55" s="54">
        <v>0</v>
      </c>
      <c r="L55" s="56">
        <v>0</v>
      </c>
      <c r="M55" s="85">
        <v>573.088</v>
      </c>
      <c r="N55" s="86">
        <v>13</v>
      </c>
      <c r="O55" s="57">
        <f>699.222-26.4</f>
        <v>672.822</v>
      </c>
      <c r="P55" s="55">
        <f>19-1</f>
        <v>18</v>
      </c>
      <c r="Q55" s="54">
        <f>672.26-97.5</f>
        <v>574.76</v>
      </c>
      <c r="R55" s="55">
        <f>41-6</f>
        <v>35</v>
      </c>
      <c r="S55" s="99">
        <v>12.874</v>
      </c>
      <c r="T55" s="117">
        <f t="shared" si="1"/>
        <v>44.084</v>
      </c>
      <c r="U55" s="115">
        <f t="shared" si="2"/>
        <v>40.191</v>
      </c>
      <c r="V55" s="115">
        <f t="shared" si="3"/>
        <v>29.687388888888886</v>
      </c>
      <c r="W55" s="115">
        <f t="shared" si="4"/>
        <v>52.803666666666665</v>
      </c>
      <c r="X55" s="68"/>
    </row>
    <row r="56" spans="1:24" s="58" customFormat="1" ht="18.75" thickBot="1">
      <c r="A56" s="137" t="s">
        <v>51</v>
      </c>
      <c r="B56" s="138"/>
      <c r="C56" s="20">
        <f>C36+C54+C55</f>
        <v>44702.554000000004</v>
      </c>
      <c r="D56" s="21">
        <f>D36+D54+D55</f>
        <v>1422</v>
      </c>
      <c r="E56" s="20">
        <f aca="true" t="shared" si="13" ref="E56:S56">E36+E54+E55</f>
        <v>7048.713</v>
      </c>
      <c r="F56" s="21">
        <f t="shared" si="13"/>
        <v>132</v>
      </c>
      <c r="G56" s="20">
        <f t="shared" si="13"/>
        <v>0</v>
      </c>
      <c r="H56" s="20">
        <f t="shared" si="13"/>
        <v>0</v>
      </c>
      <c r="I56" s="20">
        <f t="shared" si="13"/>
        <v>0</v>
      </c>
      <c r="J56" s="20">
        <f t="shared" si="13"/>
        <v>0</v>
      </c>
      <c r="K56" s="20">
        <f t="shared" si="13"/>
        <v>0</v>
      </c>
      <c r="L56" s="36">
        <f t="shared" si="13"/>
        <v>0</v>
      </c>
      <c r="M56" s="37">
        <f t="shared" si="13"/>
        <v>29414.414999999997</v>
      </c>
      <c r="N56" s="24">
        <f t="shared" si="13"/>
        <v>713</v>
      </c>
      <c r="O56" s="38">
        <f t="shared" si="13"/>
        <v>3381.9760000000006</v>
      </c>
      <c r="P56" s="21">
        <f t="shared" si="13"/>
        <v>112</v>
      </c>
      <c r="Q56" s="20">
        <f t="shared" si="13"/>
        <v>5577.25</v>
      </c>
      <c r="R56" s="21">
        <f>R36+R54+R55</f>
        <v>475</v>
      </c>
      <c r="S56" s="36">
        <f t="shared" si="13"/>
        <v>1449.3210000000001</v>
      </c>
      <c r="T56" s="118">
        <f t="shared" si="1"/>
        <v>41.254</v>
      </c>
      <c r="U56" s="119">
        <f t="shared" si="2"/>
        <v>39.753</v>
      </c>
      <c r="V56" s="119">
        <f t="shared" si="3"/>
        <v>31.436395218002815</v>
      </c>
      <c r="W56" s="119">
        <f t="shared" si="4"/>
        <v>53.39934090909091</v>
      </c>
      <c r="X56" s="68"/>
    </row>
    <row r="58" spans="2:14" ht="18">
      <c r="B58" s="87"/>
      <c r="C58" s="87"/>
      <c r="M58" s="139"/>
      <c r="N58" s="139"/>
    </row>
    <row r="59" spans="1:23" s="88" customFormat="1" ht="18">
      <c r="A59" s="42"/>
      <c r="B59" s="88" t="s">
        <v>73</v>
      </c>
      <c r="D59" s="43"/>
      <c r="E59" s="44"/>
      <c r="F59" s="43"/>
      <c r="G59" s="42"/>
      <c r="M59" s="89">
        <f>M56-M55-M33-M41</f>
        <v>27201.939</v>
      </c>
      <c r="N59" s="90">
        <f>N56-N55-N33-N41</f>
        <v>662</v>
      </c>
      <c r="P59" s="90"/>
      <c r="R59" s="90"/>
      <c r="T59" s="110">
        <f>ROUND((M59/N59),3)</f>
        <v>41.091</v>
      </c>
      <c r="U59" s="110"/>
      <c r="V59" s="110"/>
      <c r="W59" s="109"/>
    </row>
    <row r="60" spans="1:23" s="58" customFormat="1" ht="18">
      <c r="A60" s="39"/>
      <c r="B60" s="60"/>
      <c r="C60" s="60"/>
      <c r="D60" s="45"/>
      <c r="E60" s="41"/>
      <c r="F60" s="40"/>
      <c r="G60" s="39"/>
      <c r="N60" s="91"/>
      <c r="P60" s="91"/>
      <c r="R60" s="91"/>
      <c r="T60" s="110"/>
      <c r="U60" s="110"/>
      <c r="V60" s="110"/>
      <c r="W60" s="109"/>
    </row>
    <row r="61" spans="1:23" s="93" customFormat="1" ht="18">
      <c r="A61" s="46"/>
      <c r="B61" s="46" t="s">
        <v>74</v>
      </c>
      <c r="C61" s="92"/>
      <c r="D61" s="47"/>
      <c r="E61" s="48"/>
      <c r="F61" s="49"/>
      <c r="G61" s="46"/>
      <c r="M61" s="94">
        <f>M56+O56</f>
        <v>32796.390999999996</v>
      </c>
      <c r="N61" s="95">
        <f>N56+P56</f>
        <v>825</v>
      </c>
      <c r="P61" s="95"/>
      <c r="R61" s="95"/>
      <c r="T61" s="110">
        <f>ROUND((M61/N61),3)</f>
        <v>39.753</v>
      </c>
      <c r="U61" s="110"/>
      <c r="V61" s="110"/>
      <c r="W61" s="109"/>
    </row>
    <row r="62" spans="2:4" ht="18">
      <c r="B62" s="60"/>
      <c r="C62" s="60"/>
      <c r="D62" s="45"/>
    </row>
    <row r="64" ht="18">
      <c r="B64" s="58" t="s">
        <v>72</v>
      </c>
    </row>
    <row r="66" ht="18">
      <c r="B66" s="58" t="s">
        <v>81</v>
      </c>
    </row>
    <row r="67" ht="18">
      <c r="M67" s="64"/>
    </row>
    <row r="68" spans="3:13" ht="18">
      <c r="C68" s="60" t="s">
        <v>82</v>
      </c>
      <c r="D68" s="45"/>
      <c r="E68" s="141"/>
      <c r="F68" s="45"/>
      <c r="G68" s="60"/>
      <c r="H68" s="60"/>
      <c r="I68" s="60"/>
      <c r="J68" s="60"/>
      <c r="K68" s="60"/>
      <c r="L68" s="61"/>
      <c r="M68" s="61"/>
    </row>
  </sheetData>
  <sheetProtection/>
  <mergeCells count="5">
    <mergeCell ref="A8:B8"/>
    <mergeCell ref="A9:B9"/>
    <mergeCell ref="A56:B56"/>
    <mergeCell ref="M58:N58"/>
    <mergeCell ref="C1:O1"/>
  </mergeCells>
  <printOptions/>
  <pageMargins left="0" right="0" top="0" bottom="0" header="0.31496062992125984" footer="0.31496062992125984"/>
  <pageSetup fitToWidth="2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2014-04-07T11:14:44Z</dcterms:modified>
  <cp:category/>
  <cp:version/>
  <cp:contentType/>
  <cp:contentStatus/>
</cp:coreProperties>
</file>