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'Лист1'!$A:$B,'Лист1'!$5:$5</definedName>
    <definedName name="_xlnm.Print_Area" localSheetId="0">'Лист1'!$A$1:$T$66</definedName>
  </definedNames>
  <calcPr fullCalcOnLoad="1"/>
</workbook>
</file>

<file path=xl/sharedStrings.xml><?xml version="1.0" encoding="utf-8"?>
<sst xmlns="http://schemas.openxmlformats.org/spreadsheetml/2006/main" count="77" uniqueCount="77">
  <si>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</si>
  <si>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</si>
  <si>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</si>
  <si>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</si>
  <si>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</si>
  <si>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</si>
  <si>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</si>
  <si>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</si>
  <si>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</si>
  <si>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</si>
  <si>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</si>
  <si>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</si>
  <si>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</si>
  <si>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</si>
  <si>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</si>
  <si>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</si>
  <si>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</si>
  <si>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</si>
  <si>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</si>
  <si>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</si>
  <si>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</si>
  <si>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</si>
  <si>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</si>
  <si>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</si>
  <si>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</si>
  <si>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</si>
  <si>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</si>
  <si>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</si>
  <si>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</si>
  <si>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</si>
  <si>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</si>
  <si>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</si>
  <si>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</si>
  <si>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</si>
  <si>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</si>
  <si>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</si>
  <si>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</si>
  <si>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</si>
  <si>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</si>
  <si>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</si>
  <si>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</si>
  <si>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</si>
  <si>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</si>
  <si>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</si>
  <si>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</si>
  <si>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</si>
  <si>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</si>
  <si>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</si>
  <si>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</si>
  <si>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</si>
  <si>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</si>
  <si>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</si>
  <si>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</si>
  <si>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</si>
  <si>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</si>
  <si>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</si>
  <si>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</si>
  <si>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</si>
  <si>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</si>
  <si>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</si>
  <si>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</si>
  <si>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</si>
  <si>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</si>
  <si>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</si>
  <si>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</si>
  <si>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</si>
  <si>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</si>
  <si>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</si>
  <si>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средняя зпл учителя</t>
  </si>
  <si>
    <t>Примечание:</t>
  </si>
  <si>
    <t xml:space="preserve">информация по должности (заведующий библиотекой) отражена в графах № 17, № 18) </t>
  </si>
  <si>
    <t>по недостающей информации обращаться к бухгалтеру-расчетчику</t>
  </si>
  <si>
    <t>Общая численность учителей (без совместителей)</t>
  </si>
  <si>
    <t>без модельн, интерн.</t>
  </si>
  <si>
    <t>Исполнитель: Киркиж Л.И. ( 8 496 161-830)</t>
  </si>
  <si>
    <t>Дата: 07.06.2013</t>
  </si>
  <si>
    <t xml:space="preserve"> Орехово-Зуевский район 
информация для заполнения мониторинга за май 2013 года   (в тыс.руб)
(Информация дана без дошкольных отделений, без совместителей)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</si>
</sst>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1" fontId="3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164" fontId="0" fillId="0" borderId="30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64" fontId="4" fillId="0" borderId="35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19" xfId="0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right"/>
    </xf>
    <xf numFmtId="0" fontId="4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1" fontId="4" fillId="19" borderId="0" xfId="0" applyNumberFormat="1" applyFont="1" applyFill="1" applyBorder="1" applyAlignment="1">
      <alignment/>
    </xf>
    <xf numFmtId="164" fontId="4" fillId="19" borderId="0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0" fontId="45" fillId="19" borderId="0" xfId="0" applyFont="1" applyFill="1" applyBorder="1" applyAlignment="1">
      <alignment/>
    </xf>
    <xf numFmtId="164" fontId="0" fillId="36" borderId="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75" zoomScaleNormal="75" zoomScaleSheetLayoutView="53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" sqref="T6"/>
    </sheetView>
  </sheetViews>
  <sheetFormatPr defaultColWidth="16.140625" defaultRowHeight="15"/>
  <cols>
    <col min="1" max="1" width="4.8515625" style="6" customWidth="1"/>
    <col min="2" max="2" width="23.7109375" style="4" customWidth="1"/>
    <col min="3" max="3" width="15.140625" style="4" customWidth="1"/>
    <col min="4" max="4" width="11.57421875" style="2" customWidth="1"/>
    <col min="5" max="5" width="15.00390625" style="1" customWidth="1"/>
    <col min="6" max="6" width="9.00390625" style="6" customWidth="1"/>
    <col min="7" max="7" width="16.140625" style="6" hidden="1" customWidth="1"/>
    <col min="8" max="8" width="15.00390625" style="4" hidden="1" customWidth="1"/>
    <col min="9" max="9" width="18.7109375" style="4" hidden="1" customWidth="1"/>
    <col min="10" max="10" width="15.00390625" style="4" hidden="1" customWidth="1"/>
    <col min="11" max="11" width="14.140625" style="4" hidden="1" customWidth="1"/>
    <col min="12" max="12" width="15.140625" style="3" hidden="1" customWidth="1"/>
    <col min="13" max="13" width="13.421875" style="3" customWidth="1"/>
    <col min="14" max="14" width="11.140625" style="3" customWidth="1"/>
    <col min="15" max="15" width="12.57421875" style="3" customWidth="1"/>
    <col min="16" max="16" width="9.421875" style="3" customWidth="1"/>
    <col min="17" max="17" width="13.28125" style="3" customWidth="1"/>
    <col min="18" max="18" width="10.00390625" style="3" customWidth="1"/>
    <col min="19" max="19" width="14.57421875" style="3" customWidth="1"/>
    <col min="20" max="20" width="13.421875" style="88" customWidth="1"/>
    <col min="21" max="22" width="14.421875" style="88" customWidth="1"/>
    <col min="23" max="23" width="16.421875" style="4" customWidth="1"/>
    <col min="24" max="24" width="11.00390625" style="4" customWidth="1"/>
    <col min="25" max="25" width="9.140625" style="4" customWidth="1"/>
    <col min="26" max="252" width="9.140625" style="3" customWidth="1"/>
    <col min="253" max="253" width="3.57421875" style="3" customWidth="1"/>
    <col min="254" max="254" width="29.140625" style="3" customWidth="1"/>
    <col min="255" max="255" width="14.00390625" style="3" customWidth="1"/>
    <col min="256" max="16384" width="16.140625" style="3" customWidth="1"/>
  </cols>
  <sheetData>
    <row r="1" spans="1:22" ht="53.25" customHeight="1">
      <c r="A1" s="7"/>
      <c r="B1" s="7"/>
      <c r="C1" s="115" t="s">
        <v>76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7"/>
      <c r="Q1" s="7"/>
      <c r="R1" s="7"/>
      <c r="S1" s="7"/>
      <c r="T1" s="85"/>
      <c r="U1" s="85"/>
      <c r="V1" s="85"/>
    </row>
    <row r="2" spans="1:22" ht="18.75" customHeight="1">
      <c r="A2" s="7"/>
      <c r="B2" s="7"/>
      <c r="C2" s="7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7"/>
      <c r="P2" s="7"/>
      <c r="Q2" s="7"/>
      <c r="R2" s="7"/>
      <c r="S2" s="7"/>
      <c r="T2" s="85"/>
      <c r="U2" s="85"/>
      <c r="V2" s="85"/>
    </row>
    <row r="3" spans="1:22" ht="23.25" customHeight="1">
      <c r="A3" s="8"/>
      <c r="B3" s="93" t="s">
        <v>69</v>
      </c>
      <c r="C3" s="94" t="s">
        <v>70</v>
      </c>
      <c r="D3" s="95"/>
      <c r="E3" s="96"/>
      <c r="F3" s="94"/>
      <c r="G3" s="94"/>
      <c r="H3" s="78"/>
      <c r="I3" s="78"/>
      <c r="J3" s="78"/>
      <c r="K3" s="78"/>
      <c r="L3" s="97"/>
      <c r="M3" s="97"/>
      <c r="N3" s="97"/>
      <c r="O3" s="97"/>
      <c r="P3" s="10"/>
      <c r="Q3" s="10"/>
      <c r="R3" s="10"/>
      <c r="S3" s="10"/>
      <c r="T3" s="86"/>
      <c r="U3" s="86"/>
      <c r="V3" s="86"/>
    </row>
    <row r="4" spans="1:22" ht="24" customHeight="1" thickBot="1">
      <c r="A4" s="8"/>
      <c r="B4" s="93"/>
      <c r="C4" s="94" t="s">
        <v>71</v>
      </c>
      <c r="D4" s="95"/>
      <c r="E4" s="96"/>
      <c r="F4" s="94"/>
      <c r="G4" s="94"/>
      <c r="H4" s="78"/>
      <c r="I4" s="78"/>
      <c r="J4" s="78"/>
      <c r="K4" s="78"/>
      <c r="L4" s="97"/>
      <c r="M4" s="97"/>
      <c r="N4" s="97"/>
      <c r="O4" s="97"/>
      <c r="P4" s="10"/>
      <c r="Q4" s="10"/>
      <c r="R4" s="10"/>
      <c r="S4" s="10"/>
      <c r="T4" s="86"/>
      <c r="U4" s="86"/>
      <c r="V4" s="86"/>
    </row>
    <row r="5" spans="1:25" ht="111.75" customHeight="1">
      <c r="A5" s="11" t="s">
        <v>0</v>
      </c>
      <c r="B5" s="12" t="s">
        <v>1</v>
      </c>
      <c r="C5" s="66" t="s">
        <v>52</v>
      </c>
      <c r="D5" s="67" t="s">
        <v>53</v>
      </c>
      <c r="E5" s="68" t="s">
        <v>54</v>
      </c>
      <c r="F5" s="66" t="s">
        <v>55</v>
      </c>
      <c r="G5" s="13" t="s">
        <v>56</v>
      </c>
      <c r="H5" s="13" t="s">
        <v>57</v>
      </c>
      <c r="I5" s="13" t="s">
        <v>58</v>
      </c>
      <c r="J5" s="14" t="s">
        <v>59</v>
      </c>
      <c r="K5" s="14" t="s">
        <v>60</v>
      </c>
      <c r="L5" s="49" t="s">
        <v>61</v>
      </c>
      <c r="M5" s="69" t="s">
        <v>67</v>
      </c>
      <c r="N5" s="70" t="s">
        <v>72</v>
      </c>
      <c r="O5" s="71" t="s">
        <v>62</v>
      </c>
      <c r="P5" s="66" t="s">
        <v>63</v>
      </c>
      <c r="Q5" s="66" t="s">
        <v>64</v>
      </c>
      <c r="R5" s="66" t="s">
        <v>65</v>
      </c>
      <c r="S5" s="70" t="s">
        <v>66</v>
      </c>
      <c r="T5" s="145" t="s">
        <v>68</v>
      </c>
      <c r="U5" s="90"/>
      <c r="V5" s="90"/>
      <c r="W5" s="76"/>
      <c r="X5" s="76"/>
      <c r="Y5" s="76"/>
    </row>
    <row r="6" spans="1:25" s="5" customFormat="1" ht="12" customHeight="1">
      <c r="A6" s="15">
        <v>1</v>
      </c>
      <c r="B6" s="16">
        <v>2</v>
      </c>
      <c r="C6" s="16">
        <v>3</v>
      </c>
      <c r="D6" s="17">
        <v>4</v>
      </c>
      <c r="E6" s="17">
        <v>5</v>
      </c>
      <c r="F6" s="18">
        <v>6</v>
      </c>
      <c r="G6" s="18">
        <v>7</v>
      </c>
      <c r="H6" s="16">
        <v>8</v>
      </c>
      <c r="I6" s="16">
        <v>9</v>
      </c>
      <c r="J6" s="16">
        <v>10</v>
      </c>
      <c r="K6" s="16">
        <v>11</v>
      </c>
      <c r="L6" s="38">
        <v>12</v>
      </c>
      <c r="M6" s="59">
        <v>13</v>
      </c>
      <c r="N6" s="80">
        <v>14</v>
      </c>
      <c r="O6" s="53">
        <v>15</v>
      </c>
      <c r="P6" s="19">
        <v>16</v>
      </c>
      <c r="Q6" s="19">
        <v>17</v>
      </c>
      <c r="R6" s="19">
        <v>18</v>
      </c>
      <c r="S6" s="43">
        <v>19</v>
      </c>
      <c r="T6" s="87"/>
      <c r="U6" s="87"/>
      <c r="V6" s="87"/>
      <c r="W6" s="77"/>
      <c r="X6" s="77"/>
      <c r="Y6" s="77"/>
    </row>
    <row r="7" spans="1:24" s="4" customFormat="1" ht="16.5" thickBot="1">
      <c r="A7" s="112">
        <v>1</v>
      </c>
      <c r="B7" s="113" t="s">
        <v>2</v>
      </c>
      <c r="C7" s="27">
        <v>50.212</v>
      </c>
      <c r="D7" s="28">
        <v>1</v>
      </c>
      <c r="E7" s="27"/>
      <c r="F7" s="28"/>
      <c r="G7" s="27">
        <v>0</v>
      </c>
      <c r="H7" s="28">
        <v>0</v>
      </c>
      <c r="I7" s="27">
        <v>0</v>
      </c>
      <c r="J7" s="28">
        <v>0</v>
      </c>
      <c r="K7" s="27"/>
      <c r="L7" s="51"/>
      <c r="M7" s="72">
        <v>50.212</v>
      </c>
      <c r="N7" s="81">
        <v>1</v>
      </c>
      <c r="O7" s="55"/>
      <c r="P7" s="28"/>
      <c r="Q7" s="27"/>
      <c r="R7" s="28"/>
      <c r="S7" s="45">
        <v>0</v>
      </c>
      <c r="T7" s="65">
        <f>ROUND((M7/N7),3)</f>
        <v>50.212</v>
      </c>
      <c r="U7" s="65"/>
      <c r="V7" s="65"/>
      <c r="W7" s="41"/>
      <c r="X7" s="41"/>
    </row>
    <row r="8" spans="1:24" s="4" customFormat="1" ht="16.5" thickBot="1">
      <c r="A8" s="129" t="s">
        <v>3</v>
      </c>
      <c r="B8" s="130"/>
      <c r="C8" s="34">
        <f aca="true" t="shared" si="0" ref="C8:S8">SUM(C7:C7)</f>
        <v>50.212</v>
      </c>
      <c r="D8" s="34">
        <f t="shared" si="0"/>
        <v>1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5">
        <f t="shared" si="0"/>
        <v>0</v>
      </c>
      <c r="I8" s="34">
        <f t="shared" si="0"/>
        <v>0</v>
      </c>
      <c r="J8" s="35">
        <f t="shared" si="0"/>
        <v>0</v>
      </c>
      <c r="K8" s="35">
        <f t="shared" si="0"/>
        <v>0</v>
      </c>
      <c r="L8" s="39">
        <f t="shared" si="0"/>
        <v>0</v>
      </c>
      <c r="M8" s="62">
        <f t="shared" si="0"/>
        <v>50.212</v>
      </c>
      <c r="N8" s="82">
        <f t="shared" si="0"/>
        <v>1</v>
      </c>
      <c r="O8" s="56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46">
        <f t="shared" si="0"/>
        <v>0</v>
      </c>
      <c r="T8" s="65"/>
      <c r="U8" s="65"/>
      <c r="V8" s="65"/>
      <c r="W8" s="41"/>
      <c r="X8" s="41"/>
    </row>
    <row r="9" spans="1:24" s="4" customFormat="1" ht="15.75">
      <c r="A9" s="131" t="s">
        <v>4</v>
      </c>
      <c r="B9" s="132"/>
      <c r="C9" s="29"/>
      <c r="D9" s="30"/>
      <c r="E9" s="31"/>
      <c r="F9" s="30"/>
      <c r="G9" s="31"/>
      <c r="H9" s="32"/>
      <c r="I9" s="32"/>
      <c r="J9" s="33"/>
      <c r="K9" s="32"/>
      <c r="L9" s="52"/>
      <c r="M9" s="63"/>
      <c r="N9" s="83"/>
      <c r="O9" s="57"/>
      <c r="P9" s="33"/>
      <c r="Q9" s="32"/>
      <c r="R9" s="33"/>
      <c r="S9" s="47"/>
      <c r="T9" s="65"/>
      <c r="U9" s="65"/>
      <c r="V9" s="65"/>
      <c r="W9" s="41"/>
      <c r="X9" s="41"/>
    </row>
    <row r="10" spans="1:24" s="4" customFormat="1" ht="15.75">
      <c r="A10" s="104">
        <v>2</v>
      </c>
      <c r="B10" s="105" t="s">
        <v>5</v>
      </c>
      <c r="C10" s="20">
        <f>496.487-7.865</f>
        <v>488.622</v>
      </c>
      <c r="D10" s="22">
        <f>27-1</f>
        <v>26</v>
      </c>
      <c r="E10" s="20">
        <v>42.181</v>
      </c>
      <c r="F10" s="21">
        <v>1</v>
      </c>
      <c r="G10" s="20">
        <v>0</v>
      </c>
      <c r="H10" s="21">
        <v>0</v>
      </c>
      <c r="I10" s="20">
        <v>0</v>
      </c>
      <c r="J10" s="21">
        <v>0</v>
      </c>
      <c r="K10" s="20">
        <v>0</v>
      </c>
      <c r="L10" s="50">
        <v>0</v>
      </c>
      <c r="M10" s="60">
        <v>362.382</v>
      </c>
      <c r="N10" s="84">
        <v>12</v>
      </c>
      <c r="O10" s="54">
        <v>0</v>
      </c>
      <c r="P10" s="21">
        <v>0</v>
      </c>
      <c r="Q10" s="20">
        <f>91.924-7.865</f>
        <v>84.05900000000001</v>
      </c>
      <c r="R10" s="21">
        <f>14-1</f>
        <v>13</v>
      </c>
      <c r="S10" s="44">
        <v>0</v>
      </c>
      <c r="T10" s="91">
        <f aca="true" t="shared" si="1" ref="T10:T55">ROUND((M10/N10),3)</f>
        <v>30.199</v>
      </c>
      <c r="U10" s="89"/>
      <c r="V10" s="89"/>
      <c r="W10" s="41"/>
      <c r="X10" s="41"/>
    </row>
    <row r="11" spans="1:24" s="4" customFormat="1" ht="15.75">
      <c r="A11" s="104">
        <v>3</v>
      </c>
      <c r="B11" s="105" t="s">
        <v>6</v>
      </c>
      <c r="C11" s="20">
        <v>520.108</v>
      </c>
      <c r="D11" s="73">
        <v>18</v>
      </c>
      <c r="E11" s="20">
        <v>42.714</v>
      </c>
      <c r="F11" s="21">
        <v>1</v>
      </c>
      <c r="G11" s="20">
        <v>0</v>
      </c>
      <c r="H11" s="21">
        <v>0</v>
      </c>
      <c r="I11" s="20">
        <v>0</v>
      </c>
      <c r="J11" s="21">
        <v>0</v>
      </c>
      <c r="K11" s="20">
        <v>0</v>
      </c>
      <c r="L11" s="50">
        <v>0</v>
      </c>
      <c r="M11" s="60">
        <v>360.811</v>
      </c>
      <c r="N11" s="84">
        <v>9</v>
      </c>
      <c r="O11" s="54">
        <v>22.659</v>
      </c>
      <c r="P11" s="21">
        <v>1</v>
      </c>
      <c r="Q11" s="20">
        <v>93.924</v>
      </c>
      <c r="R11" s="21">
        <v>7</v>
      </c>
      <c r="S11" s="44">
        <v>6.408</v>
      </c>
      <c r="T11" s="65">
        <f t="shared" si="1"/>
        <v>40.09</v>
      </c>
      <c r="U11" s="65"/>
      <c r="V11" s="65"/>
      <c r="W11" s="41"/>
      <c r="X11" s="41"/>
    </row>
    <row r="12" spans="1:24" s="4" customFormat="1" ht="15.75">
      <c r="A12" s="104">
        <v>4</v>
      </c>
      <c r="B12" s="107" t="s">
        <v>7</v>
      </c>
      <c r="C12" s="20">
        <v>572.659</v>
      </c>
      <c r="D12" s="22">
        <v>24</v>
      </c>
      <c r="E12" s="20">
        <v>42.177</v>
      </c>
      <c r="F12" s="21">
        <v>1</v>
      </c>
      <c r="G12" s="20">
        <v>0</v>
      </c>
      <c r="H12" s="21">
        <v>0</v>
      </c>
      <c r="I12" s="20">
        <v>0</v>
      </c>
      <c r="J12" s="21">
        <v>0</v>
      </c>
      <c r="K12" s="20">
        <v>0</v>
      </c>
      <c r="L12" s="50">
        <v>0</v>
      </c>
      <c r="M12" s="60">
        <v>418.947</v>
      </c>
      <c r="N12" s="84">
        <v>11</v>
      </c>
      <c r="O12" s="54">
        <v>40.055</v>
      </c>
      <c r="P12" s="21">
        <v>1</v>
      </c>
      <c r="Q12" s="20">
        <v>71.48</v>
      </c>
      <c r="R12" s="21">
        <v>11</v>
      </c>
      <c r="S12" s="44">
        <v>0</v>
      </c>
      <c r="T12" s="65">
        <f t="shared" si="1"/>
        <v>38.086</v>
      </c>
      <c r="U12" s="65"/>
      <c r="V12" s="65"/>
      <c r="W12" s="41"/>
      <c r="X12" s="42"/>
    </row>
    <row r="13" spans="1:24" s="4" customFormat="1" ht="15.75">
      <c r="A13" s="104">
        <v>5</v>
      </c>
      <c r="B13" s="107" t="s">
        <v>8</v>
      </c>
      <c r="C13" s="20">
        <v>469.74</v>
      </c>
      <c r="D13" s="22">
        <v>21</v>
      </c>
      <c r="E13" s="20">
        <v>61.939</v>
      </c>
      <c r="F13" s="21">
        <v>2</v>
      </c>
      <c r="G13" s="20">
        <v>0</v>
      </c>
      <c r="H13" s="21">
        <v>0</v>
      </c>
      <c r="I13" s="20">
        <v>0</v>
      </c>
      <c r="J13" s="21">
        <v>0</v>
      </c>
      <c r="K13" s="20">
        <v>0</v>
      </c>
      <c r="L13" s="50">
        <v>0</v>
      </c>
      <c r="M13" s="60">
        <v>294.621</v>
      </c>
      <c r="N13" s="84">
        <v>9</v>
      </c>
      <c r="O13" s="54">
        <v>52.336</v>
      </c>
      <c r="P13" s="21">
        <v>2</v>
      </c>
      <c r="Q13" s="20">
        <v>60.844</v>
      </c>
      <c r="R13" s="21">
        <v>8</v>
      </c>
      <c r="S13" s="44">
        <v>2.5</v>
      </c>
      <c r="T13" s="65">
        <f t="shared" si="1"/>
        <v>32.736</v>
      </c>
      <c r="U13" s="65"/>
      <c r="V13" s="65"/>
      <c r="W13" s="41"/>
      <c r="X13" s="42"/>
    </row>
    <row r="14" spans="1:24" s="4" customFormat="1" ht="15.75">
      <c r="A14" s="104">
        <v>6</v>
      </c>
      <c r="B14" s="107" t="s">
        <v>9</v>
      </c>
      <c r="C14" s="20">
        <f>543.376-47.476</f>
        <v>495.9</v>
      </c>
      <c r="D14" s="22">
        <f>18-3</f>
        <v>15</v>
      </c>
      <c r="E14" s="20">
        <v>66.808</v>
      </c>
      <c r="F14" s="21">
        <v>1</v>
      </c>
      <c r="G14" s="20">
        <v>0</v>
      </c>
      <c r="H14" s="21">
        <v>0</v>
      </c>
      <c r="I14" s="20">
        <v>0</v>
      </c>
      <c r="J14" s="21">
        <v>0</v>
      </c>
      <c r="K14" s="20">
        <v>0</v>
      </c>
      <c r="L14" s="50">
        <v>0</v>
      </c>
      <c r="M14" s="74">
        <f>414.36-41.92</f>
        <v>372.44</v>
      </c>
      <c r="N14" s="84">
        <f>8-2</f>
        <v>6</v>
      </c>
      <c r="O14" s="54">
        <v>0</v>
      </c>
      <c r="P14" s="21">
        <v>0</v>
      </c>
      <c r="Q14" s="20">
        <f>62.208-5.556</f>
        <v>56.652</v>
      </c>
      <c r="R14" s="21">
        <f>9-1</f>
        <v>8</v>
      </c>
      <c r="S14" s="44">
        <v>11.59</v>
      </c>
      <c r="T14" s="65">
        <f t="shared" si="1"/>
        <v>62.073</v>
      </c>
      <c r="U14" s="65"/>
      <c r="V14" s="65"/>
      <c r="W14" s="41"/>
      <c r="X14" s="41"/>
    </row>
    <row r="15" spans="1:24" s="4" customFormat="1" ht="15.75">
      <c r="A15" s="104">
        <v>7</v>
      </c>
      <c r="B15" s="107" t="s">
        <v>10</v>
      </c>
      <c r="C15" s="20">
        <v>471.697</v>
      </c>
      <c r="D15" s="22">
        <v>19</v>
      </c>
      <c r="E15" s="20">
        <v>43.648</v>
      </c>
      <c r="F15" s="21">
        <v>1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50">
        <v>0</v>
      </c>
      <c r="M15" s="74">
        <v>308.577</v>
      </c>
      <c r="N15" s="84">
        <v>8</v>
      </c>
      <c r="O15" s="54">
        <v>33.944</v>
      </c>
      <c r="P15" s="21">
        <v>1</v>
      </c>
      <c r="Q15" s="20">
        <v>85.528</v>
      </c>
      <c r="R15" s="21">
        <v>9</v>
      </c>
      <c r="S15" s="44">
        <v>0</v>
      </c>
      <c r="T15" s="65">
        <f t="shared" si="1"/>
        <v>38.572</v>
      </c>
      <c r="U15" s="65"/>
      <c r="V15" s="65"/>
      <c r="W15" s="41"/>
      <c r="X15" s="42"/>
    </row>
    <row r="16" spans="1:24" s="4" customFormat="1" ht="15.75">
      <c r="A16" s="104">
        <v>8</v>
      </c>
      <c r="B16" s="107" t="s">
        <v>11</v>
      </c>
      <c r="C16" s="20">
        <v>397.786</v>
      </c>
      <c r="D16" s="22">
        <v>15</v>
      </c>
      <c r="E16" s="20">
        <v>38.858</v>
      </c>
      <c r="F16" s="21">
        <v>1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50">
        <v>0</v>
      </c>
      <c r="M16" s="74">
        <v>305.321</v>
      </c>
      <c r="N16" s="84">
        <v>9</v>
      </c>
      <c r="O16" s="54">
        <v>0</v>
      </c>
      <c r="P16" s="21"/>
      <c r="Q16" s="20">
        <v>53.607</v>
      </c>
      <c r="R16" s="21">
        <v>5</v>
      </c>
      <c r="S16" s="44">
        <v>4.392</v>
      </c>
      <c r="T16" s="65">
        <f t="shared" si="1"/>
        <v>33.925</v>
      </c>
      <c r="U16" s="65"/>
      <c r="V16" s="65"/>
      <c r="W16" s="41"/>
      <c r="X16" s="41"/>
    </row>
    <row r="17" spans="1:25" s="4" customFormat="1" ht="15.75">
      <c r="A17" s="104">
        <v>9</v>
      </c>
      <c r="B17" s="107" t="s">
        <v>12</v>
      </c>
      <c r="C17" s="20">
        <v>550.909</v>
      </c>
      <c r="D17" s="22">
        <v>18</v>
      </c>
      <c r="E17" s="20">
        <v>104.47</v>
      </c>
      <c r="F17" s="21">
        <v>2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50">
        <v>0</v>
      </c>
      <c r="M17" s="74">
        <v>328.769</v>
      </c>
      <c r="N17" s="84">
        <v>9</v>
      </c>
      <c r="O17" s="54">
        <v>43.704</v>
      </c>
      <c r="P17" s="21">
        <v>1</v>
      </c>
      <c r="Q17" s="20">
        <v>73.966</v>
      </c>
      <c r="R17" s="21">
        <v>6</v>
      </c>
      <c r="S17" s="44">
        <v>0</v>
      </c>
      <c r="T17" s="65">
        <f t="shared" si="1"/>
        <v>36.53</v>
      </c>
      <c r="U17" s="65"/>
      <c r="V17" s="65"/>
      <c r="W17" s="41"/>
      <c r="X17" s="42"/>
      <c r="Y17" s="75"/>
    </row>
    <row r="18" spans="1:25" s="4" customFormat="1" ht="18.75" customHeight="1" thickBot="1">
      <c r="A18" s="104">
        <v>10</v>
      </c>
      <c r="B18" s="113" t="s">
        <v>13</v>
      </c>
      <c r="C18" s="27">
        <v>466.515</v>
      </c>
      <c r="D18" s="36">
        <v>14</v>
      </c>
      <c r="E18" s="27">
        <v>110.453</v>
      </c>
      <c r="F18" s="28">
        <v>2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51">
        <v>0</v>
      </c>
      <c r="M18" s="72">
        <v>283.236</v>
      </c>
      <c r="N18" s="81">
        <v>7</v>
      </c>
      <c r="O18" s="55">
        <v>28.142</v>
      </c>
      <c r="P18" s="28">
        <v>1</v>
      </c>
      <c r="Q18" s="27">
        <v>44.684</v>
      </c>
      <c r="R18" s="28">
        <v>4</v>
      </c>
      <c r="S18" s="45">
        <v>0</v>
      </c>
      <c r="T18" s="65">
        <f t="shared" si="1"/>
        <v>40.462</v>
      </c>
      <c r="U18" s="65"/>
      <c r="V18" s="65"/>
      <c r="W18" s="41"/>
      <c r="X18" s="42"/>
      <c r="Y18" s="75"/>
    </row>
    <row r="19" spans="1:24" s="4" customFormat="1" ht="16.5" thickBot="1">
      <c r="A19" s="108" t="s">
        <v>14</v>
      </c>
      <c r="B19" s="109"/>
      <c r="C19" s="34">
        <f aca="true" t="shared" si="2" ref="C19:L19">SUM(C10:C18)</f>
        <v>4433.936000000001</v>
      </c>
      <c r="D19" s="34">
        <f t="shared" si="2"/>
        <v>170</v>
      </c>
      <c r="E19" s="34">
        <f t="shared" si="2"/>
        <v>553.248</v>
      </c>
      <c r="F19" s="34">
        <f t="shared" si="2"/>
        <v>12</v>
      </c>
      <c r="G19" s="34">
        <f t="shared" si="2"/>
        <v>0</v>
      </c>
      <c r="H19" s="35">
        <f t="shared" si="2"/>
        <v>0</v>
      </c>
      <c r="I19" s="34">
        <f t="shared" si="2"/>
        <v>0</v>
      </c>
      <c r="J19" s="35">
        <f t="shared" si="2"/>
        <v>0</v>
      </c>
      <c r="K19" s="34">
        <f t="shared" si="2"/>
        <v>0</v>
      </c>
      <c r="L19" s="39">
        <f t="shared" si="2"/>
        <v>0</v>
      </c>
      <c r="M19" s="62">
        <f aca="true" t="shared" si="3" ref="M19:S19">SUM(M10:M18)</f>
        <v>3035.1040000000003</v>
      </c>
      <c r="N19" s="82">
        <f t="shared" si="3"/>
        <v>80</v>
      </c>
      <c r="O19" s="56">
        <f t="shared" si="3"/>
        <v>220.84</v>
      </c>
      <c r="P19" s="35">
        <f t="shared" si="3"/>
        <v>7</v>
      </c>
      <c r="Q19" s="35">
        <f t="shared" si="3"/>
        <v>624.744</v>
      </c>
      <c r="R19" s="35">
        <f t="shared" si="3"/>
        <v>71</v>
      </c>
      <c r="S19" s="46">
        <f t="shared" si="3"/>
        <v>24.89</v>
      </c>
      <c r="T19" s="65"/>
      <c r="U19" s="65"/>
      <c r="V19" s="65"/>
      <c r="W19" s="41"/>
      <c r="X19" s="42"/>
    </row>
    <row r="20" spans="1:24" s="4" customFormat="1" ht="15.75">
      <c r="A20" s="110"/>
      <c r="B20" s="111" t="s">
        <v>15</v>
      </c>
      <c r="C20" s="37"/>
      <c r="D20" s="30"/>
      <c r="E20" s="31"/>
      <c r="F20" s="30"/>
      <c r="G20" s="31"/>
      <c r="H20" s="32"/>
      <c r="I20" s="32"/>
      <c r="J20" s="33"/>
      <c r="K20" s="32"/>
      <c r="L20" s="52"/>
      <c r="M20" s="63"/>
      <c r="N20" s="83"/>
      <c r="O20" s="57"/>
      <c r="P20" s="33"/>
      <c r="Q20" s="32"/>
      <c r="R20" s="33"/>
      <c r="S20" s="47"/>
      <c r="T20" s="65"/>
      <c r="U20" s="65"/>
      <c r="V20" s="65"/>
      <c r="W20" s="41"/>
      <c r="X20" s="41"/>
    </row>
    <row r="21" spans="1:24" s="4" customFormat="1" ht="15.75">
      <c r="A21" s="106">
        <v>11</v>
      </c>
      <c r="B21" s="107" t="s">
        <v>16</v>
      </c>
      <c r="C21" s="20">
        <f>1620.294-26.407</f>
        <v>1593.8870000000002</v>
      </c>
      <c r="D21" s="22">
        <f>55-2</f>
        <v>53</v>
      </c>
      <c r="E21" s="20">
        <v>232.411</v>
      </c>
      <c r="F21" s="21">
        <v>5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50">
        <v>0</v>
      </c>
      <c r="M21" s="60">
        <v>1151.697</v>
      </c>
      <c r="N21" s="84">
        <v>32</v>
      </c>
      <c r="O21" s="54">
        <v>61.339</v>
      </c>
      <c r="P21" s="21">
        <v>2</v>
      </c>
      <c r="Q21" s="20">
        <f>174.847-26.407</f>
        <v>148.44</v>
      </c>
      <c r="R21" s="21">
        <f>16-2</f>
        <v>14</v>
      </c>
      <c r="S21" s="44">
        <v>0</v>
      </c>
      <c r="T21" s="65">
        <f t="shared" si="1"/>
        <v>35.991</v>
      </c>
      <c r="U21" s="65"/>
      <c r="V21" s="65"/>
      <c r="W21" s="41"/>
      <c r="X21" s="41"/>
    </row>
    <row r="22" spans="1:24" s="4" customFormat="1" ht="15.75">
      <c r="A22" s="106">
        <v>12</v>
      </c>
      <c r="B22" s="107" t="s">
        <v>17</v>
      </c>
      <c r="C22" s="20">
        <f>868.587-12.691</f>
        <v>855.896</v>
      </c>
      <c r="D22" s="22">
        <f>31-1</f>
        <v>30</v>
      </c>
      <c r="E22" s="20">
        <v>119.118</v>
      </c>
      <c r="F22" s="21">
        <v>3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50">
        <v>0</v>
      </c>
      <c r="M22" s="60">
        <v>585.088</v>
      </c>
      <c r="N22" s="84">
        <v>15</v>
      </c>
      <c r="O22" s="54">
        <v>59.853</v>
      </c>
      <c r="P22" s="21">
        <v>3</v>
      </c>
      <c r="Q22" s="20">
        <f>104.528-12.691</f>
        <v>91.837</v>
      </c>
      <c r="R22" s="21">
        <f>10-1</f>
        <v>9</v>
      </c>
      <c r="S22" s="44">
        <v>5.032</v>
      </c>
      <c r="T22" s="65">
        <f t="shared" si="1"/>
        <v>39.006</v>
      </c>
      <c r="U22" s="65"/>
      <c r="V22" s="65"/>
      <c r="W22" s="41"/>
      <c r="X22" s="41"/>
    </row>
    <row r="23" spans="1:24" s="4" customFormat="1" ht="15.75">
      <c r="A23" s="106">
        <v>13</v>
      </c>
      <c r="B23" s="107" t="s">
        <v>18</v>
      </c>
      <c r="C23" s="20">
        <f>1343.325+18.516-7.778-293.31</f>
        <v>1060.7530000000002</v>
      </c>
      <c r="D23" s="22">
        <f>51+2-1-15</f>
        <v>37</v>
      </c>
      <c r="E23" s="20">
        <v>264.041</v>
      </c>
      <c r="F23" s="21">
        <v>4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50">
        <v>0</v>
      </c>
      <c r="M23" s="60">
        <v>644.56</v>
      </c>
      <c r="N23" s="84">
        <v>16</v>
      </c>
      <c r="O23" s="54">
        <f>147.78-122.021-12.493-4.611</f>
        <v>8.655000000000001</v>
      </c>
      <c r="P23" s="21">
        <f>7-3-1-1</f>
        <v>2</v>
      </c>
      <c r="Q23" s="20">
        <f>286.944+18.516-60.311-6.945-44.984-41.945</f>
        <v>151.27500000000003</v>
      </c>
      <c r="R23" s="21">
        <f>24+2-1-1-4-4</f>
        <v>16</v>
      </c>
      <c r="S23" s="44">
        <v>12.671</v>
      </c>
      <c r="T23" s="65">
        <f t="shared" si="1"/>
        <v>40.285</v>
      </c>
      <c r="U23" s="65"/>
      <c r="V23" s="65"/>
      <c r="W23" s="41"/>
      <c r="X23" s="41"/>
    </row>
    <row r="24" spans="1:24" s="4" customFormat="1" ht="15.75">
      <c r="A24" s="106">
        <v>14</v>
      </c>
      <c r="B24" s="107" t="s">
        <v>19</v>
      </c>
      <c r="C24" s="20">
        <v>559.852</v>
      </c>
      <c r="D24" s="22">
        <v>24</v>
      </c>
      <c r="E24" s="20">
        <v>80.391</v>
      </c>
      <c r="F24" s="21">
        <v>2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50">
        <v>0</v>
      </c>
      <c r="M24" s="60">
        <v>392.962</v>
      </c>
      <c r="N24" s="84">
        <v>11</v>
      </c>
      <c r="O24" s="54">
        <v>0</v>
      </c>
      <c r="P24" s="21"/>
      <c r="Q24" s="20">
        <v>86.499</v>
      </c>
      <c r="R24" s="21">
        <v>11</v>
      </c>
      <c r="S24" s="44">
        <v>10</v>
      </c>
      <c r="T24" s="65">
        <f t="shared" si="1"/>
        <v>35.724</v>
      </c>
      <c r="U24" s="65"/>
      <c r="V24" s="65"/>
      <c r="W24" s="41"/>
      <c r="X24" s="41"/>
    </row>
    <row r="25" spans="1:24" s="4" customFormat="1" ht="15.75">
      <c r="A25" s="106">
        <v>15</v>
      </c>
      <c r="B25" s="107" t="s">
        <v>20</v>
      </c>
      <c r="C25" s="20">
        <f>1003.956+78.681-15.379-113.745</f>
        <v>953.513</v>
      </c>
      <c r="D25" s="22">
        <f>38+5-2-6</f>
        <v>35</v>
      </c>
      <c r="E25" s="20">
        <v>106.043</v>
      </c>
      <c r="F25" s="21">
        <v>3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50">
        <v>0</v>
      </c>
      <c r="M25" s="60">
        <f>635.685+22.906</f>
        <v>658.5909999999999</v>
      </c>
      <c r="N25" s="84">
        <v>17</v>
      </c>
      <c r="O25" s="54">
        <f>90.177-56.514</f>
        <v>33.663000000000004</v>
      </c>
      <c r="P25" s="21">
        <f>3-2</f>
        <v>1</v>
      </c>
      <c r="Q25" s="20">
        <f>172.051+55.775-15.379-57.231</f>
        <v>155.216</v>
      </c>
      <c r="R25" s="21">
        <f>15+4-2-4</f>
        <v>13</v>
      </c>
      <c r="S25" s="44">
        <v>22.844</v>
      </c>
      <c r="T25" s="65">
        <f t="shared" si="1"/>
        <v>38.741</v>
      </c>
      <c r="U25" s="65"/>
      <c r="V25" s="65"/>
      <c r="W25" s="41"/>
      <c r="X25" s="41"/>
    </row>
    <row r="26" spans="1:24" s="4" customFormat="1" ht="15.75">
      <c r="A26" s="106">
        <v>16</v>
      </c>
      <c r="B26" s="107" t="s">
        <v>21</v>
      </c>
      <c r="C26" s="20">
        <f>1330.089-9.387</f>
        <v>1320.702</v>
      </c>
      <c r="D26" s="73">
        <f>44-1</f>
        <v>43</v>
      </c>
      <c r="E26" s="20">
        <v>173.865</v>
      </c>
      <c r="F26" s="21">
        <v>4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50">
        <v>0</v>
      </c>
      <c r="M26" s="74">
        <f>905.77-9.387</f>
        <v>896.383</v>
      </c>
      <c r="N26" s="84">
        <f>23-1</f>
        <v>22</v>
      </c>
      <c r="O26" s="54">
        <v>123.701</v>
      </c>
      <c r="P26" s="21">
        <v>4</v>
      </c>
      <c r="Q26" s="20">
        <v>126.753</v>
      </c>
      <c r="R26" s="21">
        <v>13</v>
      </c>
      <c r="S26" s="44">
        <v>8.776</v>
      </c>
      <c r="T26" s="65">
        <f t="shared" si="1"/>
        <v>40.745</v>
      </c>
      <c r="U26" s="65"/>
      <c r="V26" s="65"/>
      <c r="W26" s="41"/>
      <c r="X26" s="41"/>
    </row>
    <row r="27" spans="1:24" s="4" customFormat="1" ht="15.75">
      <c r="A27" s="106">
        <v>17</v>
      </c>
      <c r="B27" s="107" t="s">
        <v>22</v>
      </c>
      <c r="C27" s="20">
        <v>936.304</v>
      </c>
      <c r="D27" s="22">
        <v>33</v>
      </c>
      <c r="E27" s="20">
        <v>74.341</v>
      </c>
      <c r="F27" s="21">
        <v>2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50">
        <v>0</v>
      </c>
      <c r="M27" s="74">
        <v>695.106</v>
      </c>
      <c r="N27" s="84">
        <v>19</v>
      </c>
      <c r="O27" s="54">
        <v>76.923</v>
      </c>
      <c r="P27" s="21">
        <v>3</v>
      </c>
      <c r="Q27" s="20">
        <v>89.934</v>
      </c>
      <c r="R27" s="21">
        <v>9</v>
      </c>
      <c r="S27" s="44">
        <v>50</v>
      </c>
      <c r="T27" s="65">
        <f t="shared" si="1"/>
        <v>36.585</v>
      </c>
      <c r="U27" s="65"/>
      <c r="V27" s="65"/>
      <c r="W27" s="41"/>
      <c r="X27" s="41"/>
    </row>
    <row r="28" spans="1:24" s="4" customFormat="1" ht="15.75">
      <c r="A28" s="106">
        <v>18</v>
      </c>
      <c r="B28" s="107" t="s">
        <v>23</v>
      </c>
      <c r="C28" s="20">
        <v>841.944</v>
      </c>
      <c r="D28" s="22">
        <v>30</v>
      </c>
      <c r="E28" s="20">
        <v>142.896</v>
      </c>
      <c r="F28" s="21">
        <v>3</v>
      </c>
      <c r="G28" s="20">
        <v>0</v>
      </c>
      <c r="H28" s="21">
        <v>0</v>
      </c>
      <c r="I28" s="20">
        <v>0</v>
      </c>
      <c r="J28" s="21">
        <v>0</v>
      </c>
      <c r="K28" s="20">
        <v>0</v>
      </c>
      <c r="L28" s="50">
        <v>0</v>
      </c>
      <c r="M28" s="74">
        <v>513.37</v>
      </c>
      <c r="N28" s="84">
        <v>13</v>
      </c>
      <c r="O28" s="54">
        <v>76.462</v>
      </c>
      <c r="P28" s="21">
        <v>3</v>
      </c>
      <c r="Q28" s="20">
        <v>109.216</v>
      </c>
      <c r="R28" s="21">
        <v>11</v>
      </c>
      <c r="S28" s="44">
        <v>20</v>
      </c>
      <c r="T28" s="65">
        <f t="shared" si="1"/>
        <v>39.49</v>
      </c>
      <c r="U28" s="65"/>
      <c r="V28" s="65"/>
      <c r="W28" s="41"/>
      <c r="X28" s="41"/>
    </row>
    <row r="29" spans="1:25" s="4" customFormat="1" ht="15.75">
      <c r="A29" s="106">
        <v>19</v>
      </c>
      <c r="B29" s="107" t="s">
        <v>24</v>
      </c>
      <c r="C29" s="20">
        <f>970.217-19.432</f>
        <v>950.785</v>
      </c>
      <c r="D29" s="22">
        <f>28-1</f>
        <v>27</v>
      </c>
      <c r="E29" s="20">
        <v>168.598</v>
      </c>
      <c r="F29" s="21">
        <v>3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50">
        <v>0</v>
      </c>
      <c r="M29" s="74">
        <f>563.449</f>
        <v>563.449</v>
      </c>
      <c r="N29" s="84">
        <f>12-1</f>
        <v>11</v>
      </c>
      <c r="O29" s="54">
        <v>102.186</v>
      </c>
      <c r="P29" s="21">
        <v>3</v>
      </c>
      <c r="Q29" s="20">
        <f>135.984-19.432</f>
        <v>116.552</v>
      </c>
      <c r="R29" s="21">
        <f>10-1</f>
        <v>9</v>
      </c>
      <c r="S29" s="44">
        <v>0</v>
      </c>
      <c r="T29" s="65">
        <f t="shared" si="1"/>
        <v>51.223</v>
      </c>
      <c r="U29" s="65"/>
      <c r="V29" s="65"/>
      <c r="W29" s="41"/>
      <c r="X29" s="42"/>
      <c r="Y29" s="75"/>
    </row>
    <row r="30" spans="1:24" s="4" customFormat="1" ht="15.75">
      <c r="A30" s="106">
        <v>20</v>
      </c>
      <c r="B30" s="107" t="s">
        <v>25</v>
      </c>
      <c r="C30" s="20">
        <v>810.482</v>
      </c>
      <c r="D30" s="22">
        <v>25</v>
      </c>
      <c r="E30" s="20">
        <v>95.904</v>
      </c>
      <c r="F30" s="21">
        <v>2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50">
        <v>0</v>
      </c>
      <c r="M30" s="74">
        <v>582.437</v>
      </c>
      <c r="N30" s="84">
        <v>13</v>
      </c>
      <c r="O30" s="54">
        <v>35.823</v>
      </c>
      <c r="P30" s="21">
        <v>2</v>
      </c>
      <c r="Q30" s="20">
        <v>96.318</v>
      </c>
      <c r="R30" s="21">
        <v>8</v>
      </c>
      <c r="S30" s="44">
        <v>10</v>
      </c>
      <c r="T30" s="65">
        <f t="shared" si="1"/>
        <v>44.803</v>
      </c>
      <c r="U30" s="65"/>
      <c r="V30" s="65"/>
      <c r="W30" s="41"/>
      <c r="X30" s="42"/>
    </row>
    <row r="31" spans="1:24" s="4" customFormat="1" ht="15.75">
      <c r="A31" s="106">
        <v>21</v>
      </c>
      <c r="B31" s="107" t="s">
        <v>26</v>
      </c>
      <c r="C31" s="20">
        <f>3684.597+120.062-50.517-771.116</f>
        <v>2983.0260000000003</v>
      </c>
      <c r="D31" s="22">
        <f>128+8-4-40</f>
        <v>92</v>
      </c>
      <c r="E31" s="20">
        <f>420.089-41.74</f>
        <v>378.349</v>
      </c>
      <c r="F31" s="21">
        <f>6-1</f>
        <v>5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50">
        <v>0</v>
      </c>
      <c r="M31" s="74">
        <v>1906.45</v>
      </c>
      <c r="N31" s="84">
        <v>43</v>
      </c>
      <c r="O31" s="54">
        <f>828.335+15.539-32.551-391.709-54.25-29.108-31.713</f>
        <v>304.54299999999995</v>
      </c>
      <c r="P31" s="21">
        <f>31+1-15-1-1-1</f>
        <v>14</v>
      </c>
      <c r="Q31" s="20">
        <f>529.723+104.523-17.966-88.754-29.079-51.547-10-30.117-10-3.1</f>
        <v>393.68299999999994</v>
      </c>
      <c r="R31" s="21">
        <f>47+7-12-1-3-1-2-1-1</f>
        <v>33</v>
      </c>
      <c r="S31" s="44">
        <v>46.864</v>
      </c>
      <c r="T31" s="65">
        <f t="shared" si="1"/>
        <v>44.336</v>
      </c>
      <c r="U31" s="65"/>
      <c r="V31" s="65"/>
      <c r="W31" s="41"/>
      <c r="X31" s="42"/>
    </row>
    <row r="32" spans="1:24" s="4" customFormat="1" ht="15.75">
      <c r="A32" s="106">
        <v>22</v>
      </c>
      <c r="B32" s="107" t="s">
        <v>27</v>
      </c>
      <c r="C32" s="20">
        <f>1795.551+21.984-29.388</f>
        <v>1788.147</v>
      </c>
      <c r="D32" s="22">
        <f>55+1-3</f>
        <v>53</v>
      </c>
      <c r="E32" s="20">
        <v>287.149</v>
      </c>
      <c r="F32" s="21">
        <v>6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50">
        <v>0</v>
      </c>
      <c r="M32" s="74">
        <v>1119.347</v>
      </c>
      <c r="N32" s="84">
        <v>28</v>
      </c>
      <c r="O32" s="54">
        <f>195.355+21.984-22.443</f>
        <v>194.896</v>
      </c>
      <c r="P32" s="21">
        <f>7+1-2</f>
        <v>6</v>
      </c>
      <c r="Q32" s="20">
        <f>193.7-6.945</f>
        <v>186.755</v>
      </c>
      <c r="R32" s="21">
        <f>13-1</f>
        <v>12</v>
      </c>
      <c r="S32" s="44">
        <v>6.333</v>
      </c>
      <c r="T32" s="65">
        <f t="shared" si="1"/>
        <v>39.977</v>
      </c>
      <c r="U32" s="65"/>
      <c r="V32" s="65"/>
      <c r="W32" s="41"/>
      <c r="X32" s="41"/>
    </row>
    <row r="33" spans="1:24" s="4" customFormat="1" ht="15.75">
      <c r="A33" s="106">
        <v>23</v>
      </c>
      <c r="B33" s="107" t="s">
        <v>28</v>
      </c>
      <c r="C33" s="20">
        <f>2287.901-7.625</f>
        <v>2280.276</v>
      </c>
      <c r="D33" s="22">
        <f>70-1</f>
        <v>69</v>
      </c>
      <c r="E33" s="20">
        <v>440.295</v>
      </c>
      <c r="F33" s="21">
        <v>7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50">
        <v>0</v>
      </c>
      <c r="M33" s="74">
        <v>1564.159</v>
      </c>
      <c r="N33" s="21">
        <v>40</v>
      </c>
      <c r="O33" s="54">
        <v>28.931</v>
      </c>
      <c r="P33" s="21">
        <f>1</f>
        <v>1</v>
      </c>
      <c r="Q33" s="20">
        <f>254.516-7.625</f>
        <v>246.891</v>
      </c>
      <c r="R33" s="21">
        <f>22-1</f>
        <v>21</v>
      </c>
      <c r="S33" s="44">
        <v>110.8</v>
      </c>
      <c r="T33" s="65">
        <f t="shared" si="1"/>
        <v>39.104</v>
      </c>
      <c r="U33" s="65"/>
      <c r="V33" s="65"/>
      <c r="W33" s="41"/>
      <c r="X33" s="41"/>
    </row>
    <row r="34" spans="1:24" s="4" customFormat="1" ht="16.5" thickBot="1">
      <c r="A34" s="112">
        <v>24</v>
      </c>
      <c r="B34" s="113" t="s">
        <v>29</v>
      </c>
      <c r="C34" s="27">
        <f>835.672+32.345-19.894</f>
        <v>848.123</v>
      </c>
      <c r="D34" s="36">
        <f>32-2</f>
        <v>30</v>
      </c>
      <c r="E34" s="27">
        <f>143.067-15.647</f>
        <v>127.42</v>
      </c>
      <c r="F34" s="28">
        <f>4-1</f>
        <v>3</v>
      </c>
      <c r="G34" s="27">
        <v>0</v>
      </c>
      <c r="H34" s="28">
        <v>0</v>
      </c>
      <c r="I34" s="27">
        <v>0</v>
      </c>
      <c r="J34" s="28">
        <v>0</v>
      </c>
      <c r="K34" s="27">
        <v>0</v>
      </c>
      <c r="L34" s="51">
        <v>0</v>
      </c>
      <c r="M34" s="72">
        <f>524.381</f>
        <v>524.381</v>
      </c>
      <c r="N34" s="81">
        <v>14</v>
      </c>
      <c r="O34" s="55">
        <f>46.974+32.345</f>
        <v>79.31899999999999</v>
      </c>
      <c r="P34" s="28">
        <v>2</v>
      </c>
      <c r="Q34" s="27">
        <f>121.25-4.247</f>
        <v>117.003</v>
      </c>
      <c r="R34" s="28">
        <f>12-1</f>
        <v>11</v>
      </c>
      <c r="S34" s="45">
        <v>12.907</v>
      </c>
      <c r="T34" s="91">
        <f t="shared" si="1"/>
        <v>37.456</v>
      </c>
      <c r="U34" s="65"/>
      <c r="V34" s="65"/>
      <c r="W34" s="41"/>
      <c r="X34" s="41"/>
    </row>
    <row r="35" spans="1:24" s="4" customFormat="1" ht="16.5" thickBot="1">
      <c r="A35" s="108" t="s">
        <v>30</v>
      </c>
      <c r="B35" s="109"/>
      <c r="C35" s="34">
        <f aca="true" t="shared" si="4" ref="C35:S35">SUM(C21:C34)</f>
        <v>17783.690000000002</v>
      </c>
      <c r="D35" s="34">
        <f t="shared" si="4"/>
        <v>581</v>
      </c>
      <c r="E35" s="34">
        <f t="shared" si="4"/>
        <v>2690.821</v>
      </c>
      <c r="F35" s="34">
        <f t="shared" si="4"/>
        <v>52</v>
      </c>
      <c r="G35" s="34">
        <f t="shared" si="4"/>
        <v>0</v>
      </c>
      <c r="H35" s="35">
        <f t="shared" si="4"/>
        <v>0</v>
      </c>
      <c r="I35" s="34">
        <f t="shared" si="4"/>
        <v>0</v>
      </c>
      <c r="J35" s="35">
        <f t="shared" si="4"/>
        <v>0</v>
      </c>
      <c r="K35" s="34">
        <f t="shared" si="4"/>
        <v>0</v>
      </c>
      <c r="L35" s="39">
        <f t="shared" si="4"/>
        <v>0</v>
      </c>
      <c r="M35" s="62">
        <f t="shared" si="4"/>
        <v>11797.979999999998</v>
      </c>
      <c r="N35" s="82">
        <f t="shared" si="4"/>
        <v>294</v>
      </c>
      <c r="O35" s="56">
        <f t="shared" si="4"/>
        <v>1186.2939999999999</v>
      </c>
      <c r="P35" s="35">
        <f t="shared" si="4"/>
        <v>46</v>
      </c>
      <c r="Q35" s="35">
        <f t="shared" si="4"/>
        <v>2116.3720000000003</v>
      </c>
      <c r="R35" s="35">
        <f t="shared" si="4"/>
        <v>190</v>
      </c>
      <c r="S35" s="35">
        <f t="shared" si="4"/>
        <v>316.227</v>
      </c>
      <c r="T35" s="65"/>
      <c r="U35" s="65"/>
      <c r="V35" s="65"/>
      <c r="W35" s="41"/>
      <c r="X35" s="41"/>
    </row>
    <row r="36" spans="1:24" s="4" customFormat="1" ht="16.5" thickBot="1">
      <c r="A36" s="108" t="s">
        <v>31</v>
      </c>
      <c r="B36" s="109"/>
      <c r="C36" s="34">
        <f>C35+C19+C8</f>
        <v>22267.838000000003</v>
      </c>
      <c r="D36" s="34">
        <f>D35+D19+D8</f>
        <v>752</v>
      </c>
      <c r="E36" s="34">
        <f>E35+E19+E8</f>
        <v>3244.069</v>
      </c>
      <c r="F36" s="34">
        <f>F35+F19+F8</f>
        <v>64</v>
      </c>
      <c r="G36" s="34">
        <f aca="true" t="shared" si="5" ref="G36:Q36">G8+G19+G35</f>
        <v>0</v>
      </c>
      <c r="H36" s="35">
        <f t="shared" si="5"/>
        <v>0</v>
      </c>
      <c r="I36" s="34">
        <f t="shared" si="5"/>
        <v>0</v>
      </c>
      <c r="J36" s="35">
        <f t="shared" si="5"/>
        <v>0</v>
      </c>
      <c r="K36" s="34">
        <f t="shared" si="5"/>
        <v>0</v>
      </c>
      <c r="L36" s="39">
        <f t="shared" si="5"/>
        <v>0</v>
      </c>
      <c r="M36" s="62">
        <f t="shared" si="5"/>
        <v>14883.295999999998</v>
      </c>
      <c r="N36" s="82">
        <f t="shared" si="5"/>
        <v>375</v>
      </c>
      <c r="O36" s="56">
        <f t="shared" si="5"/>
        <v>1407.1339999999998</v>
      </c>
      <c r="P36" s="35">
        <f t="shared" si="5"/>
        <v>53</v>
      </c>
      <c r="Q36" s="35">
        <f t="shared" si="5"/>
        <v>2741.1160000000004</v>
      </c>
      <c r="R36" s="35">
        <f>R8+R19+R35</f>
        <v>261</v>
      </c>
      <c r="S36" s="35">
        <f>S8+S19+S35</f>
        <v>341.11699999999996</v>
      </c>
      <c r="T36" s="65"/>
      <c r="U36" s="65"/>
      <c r="V36" s="65"/>
      <c r="W36" s="41"/>
      <c r="X36" s="41"/>
    </row>
    <row r="37" spans="1:24" s="4" customFormat="1" ht="15.75">
      <c r="A37" s="110"/>
      <c r="B37" s="111" t="s">
        <v>32</v>
      </c>
      <c r="C37" s="37"/>
      <c r="D37" s="30"/>
      <c r="E37" s="31"/>
      <c r="F37" s="30"/>
      <c r="G37" s="31"/>
      <c r="H37" s="32"/>
      <c r="I37" s="32"/>
      <c r="J37" s="33"/>
      <c r="K37" s="32"/>
      <c r="L37" s="52"/>
      <c r="M37" s="63"/>
      <c r="N37" s="83"/>
      <c r="O37" s="57"/>
      <c r="P37" s="33"/>
      <c r="Q37" s="32"/>
      <c r="R37" s="33"/>
      <c r="S37" s="47"/>
      <c r="T37" s="65"/>
      <c r="U37" s="65"/>
      <c r="V37" s="65"/>
      <c r="W37" s="41"/>
      <c r="X37" s="41"/>
    </row>
    <row r="38" spans="1:24" s="4" customFormat="1" ht="15.75">
      <c r="A38" s="106">
        <v>25</v>
      </c>
      <c r="B38" s="107" t="s">
        <v>33</v>
      </c>
      <c r="C38" s="20">
        <f>925.171-71.689</f>
        <v>853.4820000000001</v>
      </c>
      <c r="D38" s="22">
        <f>42-7</f>
        <v>35</v>
      </c>
      <c r="E38" s="20">
        <v>158.19</v>
      </c>
      <c r="F38" s="21">
        <v>4</v>
      </c>
      <c r="G38" s="20">
        <v>0</v>
      </c>
      <c r="H38" s="21">
        <v>0</v>
      </c>
      <c r="I38" s="20">
        <v>0</v>
      </c>
      <c r="J38" s="21">
        <v>0</v>
      </c>
      <c r="K38" s="20">
        <v>0</v>
      </c>
      <c r="L38" s="50">
        <v>0</v>
      </c>
      <c r="M38" s="60">
        <f>540.133-48.887</f>
        <v>491.24600000000004</v>
      </c>
      <c r="N38" s="84">
        <f>20-4</f>
        <v>16</v>
      </c>
      <c r="O38" s="54">
        <v>18.625</v>
      </c>
      <c r="P38" s="21">
        <v>1</v>
      </c>
      <c r="Q38" s="20">
        <f>208.223-22.802</f>
        <v>185.42100000000002</v>
      </c>
      <c r="R38" s="21">
        <f>17-3</f>
        <v>14</v>
      </c>
      <c r="S38" s="44">
        <v>0</v>
      </c>
      <c r="T38" s="91">
        <f t="shared" si="1"/>
        <v>30.703</v>
      </c>
      <c r="U38" s="89"/>
      <c r="V38" s="89"/>
      <c r="W38" s="41"/>
      <c r="X38" s="41"/>
    </row>
    <row r="39" spans="1:24" s="4" customFormat="1" ht="15.75">
      <c r="A39" s="106">
        <v>26</v>
      </c>
      <c r="B39" s="107" t="s">
        <v>34</v>
      </c>
      <c r="C39" s="20">
        <v>824.164</v>
      </c>
      <c r="D39" s="22">
        <v>39</v>
      </c>
      <c r="E39" s="20">
        <v>89.923</v>
      </c>
      <c r="F39" s="21">
        <v>3</v>
      </c>
      <c r="G39" s="20">
        <v>0</v>
      </c>
      <c r="H39" s="21">
        <v>0</v>
      </c>
      <c r="I39" s="20">
        <v>0</v>
      </c>
      <c r="J39" s="21">
        <v>0</v>
      </c>
      <c r="K39" s="20">
        <v>0</v>
      </c>
      <c r="L39" s="50">
        <v>0</v>
      </c>
      <c r="M39" s="60">
        <v>525.618</v>
      </c>
      <c r="N39" s="84">
        <v>21</v>
      </c>
      <c r="O39" s="54">
        <v>71.248</v>
      </c>
      <c r="P39" s="21">
        <v>3</v>
      </c>
      <c r="Q39" s="20">
        <v>137.375</v>
      </c>
      <c r="R39" s="21">
        <v>12</v>
      </c>
      <c r="S39" s="44">
        <v>23.795</v>
      </c>
      <c r="T39" s="91">
        <f t="shared" si="1"/>
        <v>25.029</v>
      </c>
      <c r="U39" s="89"/>
      <c r="V39" s="89"/>
      <c r="W39" s="41"/>
      <c r="X39" s="41"/>
    </row>
    <row r="40" spans="1:24" s="4" customFormat="1" ht="15.75">
      <c r="A40" s="106">
        <v>27</v>
      </c>
      <c r="B40" s="107" t="s">
        <v>35</v>
      </c>
      <c r="C40" s="20">
        <f>905.62-14.729</f>
        <v>890.891</v>
      </c>
      <c r="D40" s="22">
        <f>43-2</f>
        <v>41</v>
      </c>
      <c r="E40" s="20">
        <v>111.518</v>
      </c>
      <c r="F40" s="21">
        <v>3</v>
      </c>
      <c r="G40" s="20">
        <v>0</v>
      </c>
      <c r="H40" s="21">
        <v>0</v>
      </c>
      <c r="I40" s="20">
        <v>0</v>
      </c>
      <c r="J40" s="21">
        <v>0</v>
      </c>
      <c r="K40" s="20">
        <v>0</v>
      </c>
      <c r="L40" s="50">
        <v>0</v>
      </c>
      <c r="M40" s="60">
        <v>578.459</v>
      </c>
      <c r="N40" s="84">
        <v>19</v>
      </c>
      <c r="O40" s="54">
        <v>52.868</v>
      </c>
      <c r="P40" s="21">
        <v>3</v>
      </c>
      <c r="Q40" s="20">
        <f>162.775-14.729</f>
        <v>148.046</v>
      </c>
      <c r="R40" s="21">
        <f>18-2</f>
        <v>16</v>
      </c>
      <c r="S40" s="44">
        <v>4.012</v>
      </c>
      <c r="T40" s="91">
        <f t="shared" si="1"/>
        <v>30.445</v>
      </c>
      <c r="U40" s="65"/>
      <c r="V40" s="65"/>
      <c r="W40" s="41"/>
      <c r="X40" s="41"/>
    </row>
    <row r="41" spans="1:24" s="4" customFormat="1" ht="16.5" thickBot="1">
      <c r="A41" s="112">
        <v>28</v>
      </c>
      <c r="B41" s="113" t="s">
        <v>36</v>
      </c>
      <c r="C41" s="27">
        <f>426.818+122.195-57.527</f>
        <v>491.48599999999993</v>
      </c>
      <c r="D41" s="36">
        <f>17+6-3</f>
        <v>20</v>
      </c>
      <c r="E41" s="27">
        <f>57.092-10.479</f>
        <v>46.613</v>
      </c>
      <c r="F41" s="28">
        <f>2-1</f>
        <v>1</v>
      </c>
      <c r="G41" s="27">
        <v>0</v>
      </c>
      <c r="H41" s="28">
        <v>0</v>
      </c>
      <c r="I41" s="27">
        <v>0</v>
      </c>
      <c r="J41" s="28">
        <v>0</v>
      </c>
      <c r="K41" s="27">
        <v>0</v>
      </c>
      <c r="L41" s="51">
        <v>0</v>
      </c>
      <c r="M41" s="61">
        <f>121.88-42.188</f>
        <v>79.692</v>
      </c>
      <c r="N41" s="81">
        <f>3-1</f>
        <v>2</v>
      </c>
      <c r="O41" s="55">
        <f>163.382+103.384-4.86</f>
        <v>261.906</v>
      </c>
      <c r="P41" s="28">
        <f>5+4-1</f>
        <v>8</v>
      </c>
      <c r="Q41" s="27">
        <f>84.464+18.811</f>
        <v>103.275</v>
      </c>
      <c r="R41" s="28">
        <f>7+2</f>
        <v>9</v>
      </c>
      <c r="S41" s="45">
        <v>27.703</v>
      </c>
      <c r="T41" s="91">
        <f t="shared" si="1"/>
        <v>39.846</v>
      </c>
      <c r="U41" s="65"/>
      <c r="V41" s="65"/>
      <c r="W41" s="41"/>
      <c r="X41" s="41"/>
    </row>
    <row r="42" spans="1:24" s="4" customFormat="1" ht="16.5" thickBot="1">
      <c r="A42" s="108" t="s">
        <v>37</v>
      </c>
      <c r="B42" s="109"/>
      <c r="C42" s="34">
        <f aca="true" t="shared" si="6" ref="C42:L42">SUM(C38:C41)</f>
        <v>3060.023</v>
      </c>
      <c r="D42" s="34">
        <f t="shared" si="6"/>
        <v>135</v>
      </c>
      <c r="E42" s="34">
        <f t="shared" si="6"/>
        <v>406.24399999999997</v>
      </c>
      <c r="F42" s="34">
        <f t="shared" si="6"/>
        <v>11</v>
      </c>
      <c r="G42" s="34">
        <f t="shared" si="6"/>
        <v>0</v>
      </c>
      <c r="H42" s="35">
        <f t="shared" si="6"/>
        <v>0</v>
      </c>
      <c r="I42" s="34">
        <f t="shared" si="6"/>
        <v>0</v>
      </c>
      <c r="J42" s="35">
        <f t="shared" si="6"/>
        <v>0</v>
      </c>
      <c r="K42" s="34">
        <f t="shared" si="6"/>
        <v>0</v>
      </c>
      <c r="L42" s="39">
        <f t="shared" si="6"/>
        <v>0</v>
      </c>
      <c r="M42" s="62">
        <f aca="true" t="shared" si="7" ref="M42:S42">SUM(M38:M41)</f>
        <v>1675.0149999999999</v>
      </c>
      <c r="N42" s="82">
        <f t="shared" si="7"/>
        <v>58</v>
      </c>
      <c r="O42" s="56">
        <f t="shared" si="7"/>
        <v>404.64700000000005</v>
      </c>
      <c r="P42" s="35">
        <f t="shared" si="7"/>
        <v>15</v>
      </c>
      <c r="Q42" s="35">
        <f t="shared" si="7"/>
        <v>574.1170000000001</v>
      </c>
      <c r="R42" s="35">
        <f t="shared" si="7"/>
        <v>51</v>
      </c>
      <c r="S42" s="46">
        <f t="shared" si="7"/>
        <v>55.510000000000005</v>
      </c>
      <c r="T42" s="91"/>
      <c r="U42" s="89"/>
      <c r="V42" s="89"/>
      <c r="W42" s="41"/>
      <c r="X42" s="41"/>
    </row>
    <row r="43" spans="1:24" s="4" customFormat="1" ht="15.75">
      <c r="A43" s="110"/>
      <c r="B43" s="111" t="s">
        <v>38</v>
      </c>
      <c r="C43" s="37"/>
      <c r="D43" s="30"/>
      <c r="E43" s="31"/>
      <c r="F43" s="30"/>
      <c r="G43" s="31"/>
      <c r="H43" s="32"/>
      <c r="I43" s="32"/>
      <c r="J43" s="33"/>
      <c r="K43" s="32"/>
      <c r="L43" s="52"/>
      <c r="M43" s="63"/>
      <c r="N43" s="83"/>
      <c r="O43" s="57"/>
      <c r="P43" s="33"/>
      <c r="Q43" s="32"/>
      <c r="R43" s="33"/>
      <c r="S43" s="47"/>
      <c r="T43" s="91"/>
      <c r="U43" s="65"/>
      <c r="V43" s="65"/>
      <c r="W43" s="41"/>
      <c r="X43" s="41"/>
    </row>
    <row r="44" spans="1:24" s="4" customFormat="1" ht="15.75">
      <c r="A44" s="106">
        <v>29</v>
      </c>
      <c r="B44" s="107" t="s">
        <v>39</v>
      </c>
      <c r="C44" s="20">
        <f>1874.793+13.311-27.194</f>
        <v>1860.9099999999999</v>
      </c>
      <c r="D44" s="22">
        <f>72-1</f>
        <v>71</v>
      </c>
      <c r="E44" s="20">
        <v>224.46</v>
      </c>
      <c r="F44" s="21">
        <v>5</v>
      </c>
      <c r="G44" s="20">
        <v>0</v>
      </c>
      <c r="H44" s="21">
        <v>0</v>
      </c>
      <c r="I44" s="20">
        <v>0</v>
      </c>
      <c r="J44" s="21">
        <v>0</v>
      </c>
      <c r="K44" s="20">
        <v>0</v>
      </c>
      <c r="L44" s="50">
        <v>0</v>
      </c>
      <c r="M44" s="60">
        <f>1208.871+13.311</f>
        <v>1222.182</v>
      </c>
      <c r="N44" s="84">
        <v>36</v>
      </c>
      <c r="O44" s="54">
        <f>187.273-27.194</f>
        <v>160.079</v>
      </c>
      <c r="P44" s="21">
        <f>7-1</f>
        <v>6</v>
      </c>
      <c r="Q44" s="20">
        <v>254.189</v>
      </c>
      <c r="R44" s="21">
        <v>24</v>
      </c>
      <c r="S44" s="44">
        <v>24</v>
      </c>
      <c r="T44" s="91">
        <f t="shared" si="1"/>
        <v>33.95</v>
      </c>
      <c r="U44" s="65"/>
      <c r="V44" s="65"/>
      <c r="W44" s="41"/>
      <c r="X44" s="42"/>
    </row>
    <row r="45" spans="1:24" s="4" customFormat="1" ht="15.75">
      <c r="A45" s="106">
        <v>30</v>
      </c>
      <c r="B45" s="107" t="s">
        <v>40</v>
      </c>
      <c r="C45" s="20">
        <f>1340.049-6.945</f>
        <v>1333.104</v>
      </c>
      <c r="D45" s="22">
        <f>52-1</f>
        <v>51</v>
      </c>
      <c r="E45" s="20">
        <v>208.393</v>
      </c>
      <c r="F45" s="21">
        <v>5</v>
      </c>
      <c r="G45" s="20">
        <v>0</v>
      </c>
      <c r="H45" s="21">
        <v>0</v>
      </c>
      <c r="I45" s="20">
        <v>0</v>
      </c>
      <c r="J45" s="21">
        <v>0</v>
      </c>
      <c r="K45" s="20">
        <v>0</v>
      </c>
      <c r="L45" s="50">
        <v>0</v>
      </c>
      <c r="M45" s="60">
        <v>862.09</v>
      </c>
      <c r="N45" s="84">
        <v>26</v>
      </c>
      <c r="O45" s="54">
        <v>78.637</v>
      </c>
      <c r="P45" s="21">
        <v>3</v>
      </c>
      <c r="Q45" s="20">
        <f>190.929-6.945</f>
        <v>183.984</v>
      </c>
      <c r="R45" s="21">
        <f>17-1</f>
        <v>16</v>
      </c>
      <c r="S45" s="44">
        <v>29.288</v>
      </c>
      <c r="T45" s="65">
        <f t="shared" si="1"/>
        <v>33.157</v>
      </c>
      <c r="U45" s="65"/>
      <c r="V45" s="65"/>
      <c r="W45" s="41"/>
      <c r="X45" s="42"/>
    </row>
    <row r="46" spans="1:24" s="4" customFormat="1" ht="15.75">
      <c r="A46" s="106">
        <v>31</v>
      </c>
      <c r="B46" s="107" t="s">
        <v>41</v>
      </c>
      <c r="C46" s="20">
        <f>1492.843+71.028-133.31</f>
        <v>1430.5610000000001</v>
      </c>
      <c r="D46" s="22">
        <f>58+4-6</f>
        <v>56</v>
      </c>
      <c r="E46" s="20">
        <v>319.786</v>
      </c>
      <c r="F46" s="21">
        <v>6</v>
      </c>
      <c r="G46" s="20">
        <v>0</v>
      </c>
      <c r="H46" s="21">
        <v>0</v>
      </c>
      <c r="I46" s="20">
        <v>0</v>
      </c>
      <c r="J46" s="21">
        <v>0</v>
      </c>
      <c r="K46" s="20">
        <v>0</v>
      </c>
      <c r="L46" s="50">
        <v>0</v>
      </c>
      <c r="M46" s="60">
        <f>731.498+18.325</f>
        <v>749.8230000000001</v>
      </c>
      <c r="N46" s="84">
        <v>24</v>
      </c>
      <c r="O46" s="54">
        <f>169.896-81.583</f>
        <v>88.31299999999999</v>
      </c>
      <c r="P46" s="21">
        <f>6-2</f>
        <v>4</v>
      </c>
      <c r="Q46" s="20">
        <f>271.663+52.703-51.727</f>
        <v>272.639</v>
      </c>
      <c r="R46" s="21">
        <f>22+3-4</f>
        <v>21</v>
      </c>
      <c r="S46" s="44">
        <v>4.839</v>
      </c>
      <c r="T46" s="65">
        <f t="shared" si="1"/>
        <v>31.243</v>
      </c>
      <c r="U46" s="65"/>
      <c r="V46" s="65"/>
      <c r="W46" s="41"/>
      <c r="X46" s="41"/>
    </row>
    <row r="47" spans="1:24" s="128" customFormat="1" ht="15.75">
      <c r="A47" s="116">
        <v>32</v>
      </c>
      <c r="B47" s="117" t="s">
        <v>42</v>
      </c>
      <c r="C47" s="118"/>
      <c r="D47" s="119"/>
      <c r="E47" s="118"/>
      <c r="F47" s="120"/>
      <c r="G47" s="118">
        <v>0</v>
      </c>
      <c r="H47" s="120">
        <v>0</v>
      </c>
      <c r="I47" s="118">
        <v>0</v>
      </c>
      <c r="J47" s="120">
        <v>0</v>
      </c>
      <c r="K47" s="118">
        <v>0</v>
      </c>
      <c r="L47" s="121">
        <v>0</v>
      </c>
      <c r="M47" s="122">
        <f>1293.274+17.75</f>
        <v>1311.024</v>
      </c>
      <c r="N47" s="123">
        <v>44</v>
      </c>
      <c r="O47" s="124"/>
      <c r="P47" s="120"/>
      <c r="Q47" s="118"/>
      <c r="R47" s="120"/>
      <c r="S47" s="125"/>
      <c r="T47" s="126">
        <f t="shared" si="1"/>
        <v>29.796</v>
      </c>
      <c r="U47" s="126"/>
      <c r="V47" s="126"/>
      <c r="W47" s="127"/>
      <c r="X47" s="127"/>
    </row>
    <row r="48" spans="1:24" s="128" customFormat="1" ht="15.75">
      <c r="A48" s="116">
        <v>33</v>
      </c>
      <c r="B48" s="117" t="s">
        <v>43</v>
      </c>
      <c r="C48" s="118"/>
      <c r="D48" s="119"/>
      <c r="E48" s="118"/>
      <c r="F48" s="120"/>
      <c r="G48" s="118">
        <v>0</v>
      </c>
      <c r="H48" s="120">
        <v>0</v>
      </c>
      <c r="I48" s="118">
        <v>0</v>
      </c>
      <c r="J48" s="120">
        <v>0</v>
      </c>
      <c r="K48" s="118">
        <v>0</v>
      </c>
      <c r="L48" s="121">
        <v>0</v>
      </c>
      <c r="M48" s="122">
        <v>1194.292</v>
      </c>
      <c r="N48" s="123">
        <v>31</v>
      </c>
      <c r="O48" s="124"/>
      <c r="P48" s="120"/>
      <c r="Q48" s="118"/>
      <c r="R48" s="120"/>
      <c r="S48" s="125"/>
      <c r="T48" s="126">
        <f t="shared" si="1"/>
        <v>38.526</v>
      </c>
      <c r="U48" s="126"/>
      <c r="V48" s="126"/>
      <c r="W48" s="127"/>
      <c r="X48" s="127"/>
    </row>
    <row r="49" spans="1:24" s="128" customFormat="1" ht="15.75">
      <c r="A49" s="116">
        <v>34</v>
      </c>
      <c r="B49" s="117" t="s">
        <v>44</v>
      </c>
      <c r="C49" s="118"/>
      <c r="D49" s="119"/>
      <c r="E49" s="118"/>
      <c r="F49" s="120"/>
      <c r="G49" s="118"/>
      <c r="H49" s="120"/>
      <c r="I49" s="118"/>
      <c r="J49" s="120"/>
      <c r="K49" s="118"/>
      <c r="L49" s="121"/>
      <c r="M49" s="122">
        <v>582.279</v>
      </c>
      <c r="N49" s="123">
        <v>19</v>
      </c>
      <c r="O49" s="124"/>
      <c r="P49" s="120"/>
      <c r="Q49" s="118"/>
      <c r="R49" s="120"/>
      <c r="S49" s="125"/>
      <c r="T49" s="126">
        <f t="shared" si="1"/>
        <v>30.646</v>
      </c>
      <c r="U49" s="126"/>
      <c r="V49" s="126"/>
      <c r="W49" s="127"/>
      <c r="X49" s="127"/>
    </row>
    <row r="50" spans="1:24" s="4" customFormat="1" ht="15.75">
      <c r="A50" s="106">
        <v>35</v>
      </c>
      <c r="B50" s="107" t="s">
        <v>45</v>
      </c>
      <c r="C50" s="20">
        <f>1429.069-174.019</f>
        <v>1255.05</v>
      </c>
      <c r="D50" s="22">
        <f>54-10</f>
        <v>44</v>
      </c>
      <c r="E50" s="20">
        <v>330.873</v>
      </c>
      <c r="F50" s="21">
        <v>6</v>
      </c>
      <c r="G50" s="20">
        <v>0</v>
      </c>
      <c r="H50" s="21">
        <v>0</v>
      </c>
      <c r="I50" s="20">
        <v>0</v>
      </c>
      <c r="J50" s="21">
        <v>0</v>
      </c>
      <c r="K50" s="20">
        <v>0</v>
      </c>
      <c r="L50" s="50">
        <v>0</v>
      </c>
      <c r="M50" s="60">
        <f>777.843-70.661</f>
        <v>707.182</v>
      </c>
      <c r="N50" s="84">
        <f>22-3</f>
        <v>19</v>
      </c>
      <c r="O50" s="54">
        <f>136.094-92.003</f>
        <v>44.090999999999994</v>
      </c>
      <c r="P50" s="21">
        <f>9-6</f>
        <v>3</v>
      </c>
      <c r="Q50" s="20">
        <f>184.259-11.355</f>
        <v>172.904</v>
      </c>
      <c r="R50" s="21">
        <f>17-1</f>
        <v>16</v>
      </c>
      <c r="S50" s="44">
        <v>60</v>
      </c>
      <c r="T50" s="65">
        <f t="shared" si="1"/>
        <v>37.22</v>
      </c>
      <c r="U50" s="65"/>
      <c r="V50" s="65"/>
      <c r="W50" s="41"/>
      <c r="X50" s="41"/>
    </row>
    <row r="51" spans="1:24" s="128" customFormat="1" ht="15.75">
      <c r="A51" s="116">
        <v>36</v>
      </c>
      <c r="B51" s="117" t="s">
        <v>46</v>
      </c>
      <c r="C51" s="118"/>
      <c r="D51" s="119"/>
      <c r="E51" s="118"/>
      <c r="F51" s="120"/>
      <c r="G51" s="118"/>
      <c r="H51" s="120"/>
      <c r="I51" s="118"/>
      <c r="J51" s="120"/>
      <c r="K51" s="118"/>
      <c r="L51" s="121"/>
      <c r="M51" s="122">
        <v>1576.727</v>
      </c>
      <c r="N51" s="123">
        <v>40</v>
      </c>
      <c r="O51" s="124"/>
      <c r="P51" s="120"/>
      <c r="Q51" s="118"/>
      <c r="R51" s="120"/>
      <c r="S51" s="125"/>
      <c r="T51" s="126">
        <f t="shared" si="1"/>
        <v>39.418</v>
      </c>
      <c r="U51" s="126"/>
      <c r="V51" s="126"/>
      <c r="W51" s="127"/>
      <c r="X51" s="127"/>
    </row>
    <row r="52" spans="1:24" s="4" customFormat="1" ht="16.5" thickBot="1">
      <c r="A52" s="112">
        <v>37</v>
      </c>
      <c r="B52" s="113" t="s">
        <v>47</v>
      </c>
      <c r="C52" s="27">
        <f>1455.642+19.539</f>
        <v>1475.181</v>
      </c>
      <c r="D52" s="36">
        <f>58</f>
        <v>58</v>
      </c>
      <c r="E52" s="27">
        <v>209.912</v>
      </c>
      <c r="F52" s="28">
        <v>6</v>
      </c>
      <c r="G52" s="27">
        <v>0</v>
      </c>
      <c r="H52" s="28">
        <v>0</v>
      </c>
      <c r="I52" s="27">
        <v>0</v>
      </c>
      <c r="J52" s="28">
        <v>0</v>
      </c>
      <c r="K52" s="27">
        <v>0</v>
      </c>
      <c r="L52" s="51">
        <v>0</v>
      </c>
      <c r="M52" s="61">
        <f>965.882+19.539</f>
        <v>985.4209999999999</v>
      </c>
      <c r="N52" s="81">
        <v>30</v>
      </c>
      <c r="O52" s="55">
        <v>111.419</v>
      </c>
      <c r="P52" s="28">
        <v>6</v>
      </c>
      <c r="Q52" s="27">
        <v>168.429</v>
      </c>
      <c r="R52" s="28">
        <v>16</v>
      </c>
      <c r="S52" s="45">
        <v>12.924</v>
      </c>
      <c r="T52" s="91">
        <f t="shared" si="1"/>
        <v>32.847</v>
      </c>
      <c r="U52" s="65"/>
      <c r="V52" s="65"/>
      <c r="W52" s="41"/>
      <c r="X52" s="42"/>
    </row>
    <row r="53" spans="1:24" s="4" customFormat="1" ht="16.5" thickBot="1">
      <c r="A53" s="108" t="s">
        <v>48</v>
      </c>
      <c r="B53" s="109"/>
      <c r="C53" s="34">
        <f>SUM(C44:C52)</f>
        <v>7354.8060000000005</v>
      </c>
      <c r="D53" s="34">
        <f>SUM(D44:D52)</f>
        <v>280</v>
      </c>
      <c r="E53" s="34">
        <f>SUM(E44:E52)</f>
        <v>1293.424</v>
      </c>
      <c r="F53" s="34">
        <f>SUM(F44:F52)</f>
        <v>28</v>
      </c>
      <c r="G53" s="34">
        <f aca="true" t="shared" si="8" ref="G53:S53">SUM(G44:G52)</f>
        <v>0</v>
      </c>
      <c r="H53" s="35">
        <f t="shared" si="8"/>
        <v>0</v>
      </c>
      <c r="I53" s="34">
        <f t="shared" si="8"/>
        <v>0</v>
      </c>
      <c r="J53" s="35">
        <f t="shared" si="8"/>
        <v>0</v>
      </c>
      <c r="K53" s="34">
        <f t="shared" si="8"/>
        <v>0</v>
      </c>
      <c r="L53" s="39">
        <f t="shared" si="8"/>
        <v>0</v>
      </c>
      <c r="M53" s="62">
        <f>SUM(M44:M52)</f>
        <v>9191.02</v>
      </c>
      <c r="N53" s="82">
        <f t="shared" si="8"/>
        <v>269</v>
      </c>
      <c r="O53" s="56">
        <f t="shared" si="8"/>
        <v>482.539</v>
      </c>
      <c r="P53" s="35">
        <f t="shared" si="8"/>
        <v>22</v>
      </c>
      <c r="Q53" s="35">
        <f t="shared" si="8"/>
        <v>1052.145</v>
      </c>
      <c r="R53" s="35">
        <f t="shared" si="8"/>
        <v>93</v>
      </c>
      <c r="S53" s="46">
        <f t="shared" si="8"/>
        <v>131.051</v>
      </c>
      <c r="T53" s="65">
        <f t="shared" si="1"/>
        <v>34.167</v>
      </c>
      <c r="U53" s="65"/>
      <c r="V53" s="65"/>
      <c r="W53" s="41"/>
      <c r="X53" s="41"/>
    </row>
    <row r="54" spans="1:24" s="4" customFormat="1" ht="16.5" thickBot="1">
      <c r="A54" s="108" t="s">
        <v>49</v>
      </c>
      <c r="B54" s="109"/>
      <c r="C54" s="34">
        <f>C42+C53</f>
        <v>10414.829000000002</v>
      </c>
      <c r="D54" s="34">
        <f>D42+D53</f>
        <v>415</v>
      </c>
      <c r="E54" s="34">
        <f aca="true" t="shared" si="9" ref="E54:S54">E42+E53</f>
        <v>1699.668</v>
      </c>
      <c r="F54" s="34">
        <f t="shared" si="9"/>
        <v>39</v>
      </c>
      <c r="G54" s="34">
        <f t="shared" si="9"/>
        <v>0</v>
      </c>
      <c r="H54" s="34">
        <f t="shared" si="9"/>
        <v>0</v>
      </c>
      <c r="I54" s="34">
        <f t="shared" si="9"/>
        <v>0</v>
      </c>
      <c r="J54" s="34">
        <f t="shared" si="9"/>
        <v>0</v>
      </c>
      <c r="K54" s="34">
        <f t="shared" si="9"/>
        <v>0</v>
      </c>
      <c r="L54" s="40">
        <f t="shared" si="9"/>
        <v>0</v>
      </c>
      <c r="M54" s="64">
        <f t="shared" si="9"/>
        <v>10866.035</v>
      </c>
      <c r="N54" s="82">
        <f t="shared" si="9"/>
        <v>327</v>
      </c>
      <c r="O54" s="58">
        <f t="shared" si="9"/>
        <v>887.186</v>
      </c>
      <c r="P54" s="34">
        <f t="shared" si="9"/>
        <v>37</v>
      </c>
      <c r="Q54" s="34">
        <f t="shared" si="9"/>
        <v>1626.2620000000002</v>
      </c>
      <c r="R54" s="34">
        <f t="shared" si="9"/>
        <v>144</v>
      </c>
      <c r="S54" s="48">
        <f t="shared" si="9"/>
        <v>186.56099999999998</v>
      </c>
      <c r="T54" s="65">
        <f t="shared" si="1"/>
        <v>33.229</v>
      </c>
      <c r="U54" s="65"/>
      <c r="V54" s="65"/>
      <c r="W54" s="41"/>
      <c r="X54" s="41"/>
    </row>
    <row r="55" spans="1:24" s="6" customFormat="1" ht="16.5" thickBot="1">
      <c r="A55" s="133">
        <v>38</v>
      </c>
      <c r="B55" s="134" t="s">
        <v>50</v>
      </c>
      <c r="C55" s="98">
        <v>0</v>
      </c>
      <c r="D55" s="99">
        <v>0</v>
      </c>
      <c r="E55" s="98"/>
      <c r="F55" s="99"/>
      <c r="G55" s="98">
        <v>0</v>
      </c>
      <c r="H55" s="99">
        <v>0</v>
      </c>
      <c r="I55" s="98">
        <v>0</v>
      </c>
      <c r="J55" s="99">
        <v>0</v>
      </c>
      <c r="K55" s="98">
        <v>0</v>
      </c>
      <c r="L55" s="100">
        <v>0</v>
      </c>
      <c r="M55" s="137">
        <v>619.757</v>
      </c>
      <c r="N55" s="101">
        <v>14</v>
      </c>
      <c r="O55" s="102"/>
      <c r="P55" s="99"/>
      <c r="Q55" s="98"/>
      <c r="R55" s="99"/>
      <c r="S55" s="103"/>
      <c r="T55" s="65">
        <f t="shared" si="1"/>
        <v>44.268</v>
      </c>
      <c r="U55" s="65"/>
      <c r="V55" s="65"/>
      <c r="W55" s="41"/>
      <c r="X55" s="41"/>
    </row>
    <row r="56" spans="1:24" s="4" customFormat="1" ht="16.5" thickBot="1">
      <c r="A56" s="135" t="s">
        <v>51</v>
      </c>
      <c r="B56" s="136"/>
      <c r="C56" s="34">
        <f>C36+C54+C55</f>
        <v>32682.667000000005</v>
      </c>
      <c r="D56" s="34">
        <f>D36+D54+D55</f>
        <v>1167</v>
      </c>
      <c r="E56" s="34">
        <f aca="true" t="shared" si="10" ref="E56:S56">E36+E54+E55</f>
        <v>4943.737</v>
      </c>
      <c r="F56" s="34">
        <f t="shared" si="10"/>
        <v>103</v>
      </c>
      <c r="G56" s="34">
        <f t="shared" si="10"/>
        <v>0</v>
      </c>
      <c r="H56" s="34">
        <f t="shared" si="10"/>
        <v>0</v>
      </c>
      <c r="I56" s="34">
        <f t="shared" si="10"/>
        <v>0</v>
      </c>
      <c r="J56" s="34">
        <f t="shared" si="10"/>
        <v>0</v>
      </c>
      <c r="K56" s="34">
        <f t="shared" si="10"/>
        <v>0</v>
      </c>
      <c r="L56" s="40">
        <f t="shared" si="10"/>
        <v>0</v>
      </c>
      <c r="M56" s="64">
        <f t="shared" si="10"/>
        <v>26369.088</v>
      </c>
      <c r="N56" s="82">
        <f t="shared" si="10"/>
        <v>716</v>
      </c>
      <c r="O56" s="58">
        <f t="shared" si="10"/>
        <v>2294.3199999999997</v>
      </c>
      <c r="P56" s="34">
        <f t="shared" si="10"/>
        <v>90</v>
      </c>
      <c r="Q56" s="34">
        <f t="shared" si="10"/>
        <v>4367.378000000001</v>
      </c>
      <c r="R56" s="34">
        <f>R36+R54+R55</f>
        <v>405</v>
      </c>
      <c r="S56" s="48">
        <f t="shared" si="10"/>
        <v>527.6779999999999</v>
      </c>
      <c r="T56" s="65">
        <f>ROUND((M56/N56),3)</f>
        <v>36.828</v>
      </c>
      <c r="U56" s="65"/>
      <c r="V56" s="65"/>
      <c r="W56" s="41"/>
      <c r="X56" s="41"/>
    </row>
    <row r="57" spans="1:22" ht="15.75">
      <c r="A57" s="23"/>
      <c r="B57" s="9"/>
      <c r="C57" s="9"/>
      <c r="D57" s="24"/>
      <c r="E57" s="25"/>
      <c r="F57" s="23"/>
      <c r="G57" s="23"/>
      <c r="H57" s="9"/>
      <c r="I57" s="9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65"/>
      <c r="U57" s="86"/>
      <c r="V57" s="86"/>
    </row>
    <row r="58" spans="1:22" ht="15.75">
      <c r="A58" s="23"/>
      <c r="B58" s="26"/>
      <c r="C58" s="26"/>
      <c r="D58" s="24"/>
      <c r="E58" s="25"/>
      <c r="F58" s="23"/>
      <c r="G58" s="23"/>
      <c r="H58" s="9"/>
      <c r="I58" s="9"/>
      <c r="J58" s="9"/>
      <c r="K58" s="9"/>
      <c r="L58" s="10"/>
      <c r="M58" s="114"/>
      <c r="N58" s="114"/>
      <c r="O58" s="10"/>
      <c r="P58" s="10"/>
      <c r="Q58" s="10"/>
      <c r="R58" s="10"/>
      <c r="S58" s="10"/>
      <c r="T58" s="65"/>
      <c r="U58" s="86"/>
      <c r="V58" s="86"/>
    </row>
    <row r="59" spans="1:22" s="144" customFormat="1" ht="15.75">
      <c r="A59" s="138"/>
      <c r="B59" s="139"/>
      <c r="C59" s="139"/>
      <c r="D59" s="140"/>
      <c r="E59" s="141" t="s">
        <v>73</v>
      </c>
      <c r="F59" s="138"/>
      <c r="G59" s="138"/>
      <c r="H59" s="139"/>
      <c r="I59" s="139"/>
      <c r="J59" s="139"/>
      <c r="K59" s="139"/>
      <c r="L59" s="139"/>
      <c r="M59" s="142">
        <f>M56-M55-M33-M27</f>
        <v>23490.066</v>
      </c>
      <c r="N59" s="143">
        <f>N56-N55-N33-N27</f>
        <v>643</v>
      </c>
      <c r="O59" s="139"/>
      <c r="P59" s="139"/>
      <c r="Q59" s="139"/>
      <c r="R59" s="139"/>
      <c r="S59" s="139"/>
      <c r="T59" s="142">
        <f>ROUND((M59/N59),3)</f>
        <v>36.532</v>
      </c>
      <c r="U59" s="142"/>
      <c r="V59" s="142"/>
    </row>
    <row r="60" spans="1:22" ht="15.75">
      <c r="A60" s="23"/>
      <c r="B60" s="78"/>
      <c r="C60" s="78"/>
      <c r="D60" s="79"/>
      <c r="E60" s="25"/>
      <c r="F60" s="23"/>
      <c r="G60" s="23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86"/>
      <c r="U60" s="86"/>
      <c r="V60" s="86"/>
    </row>
    <row r="61" spans="1:22" ht="15.75">
      <c r="A61" s="23"/>
      <c r="B61" s="9"/>
      <c r="C61" s="9"/>
      <c r="D61" s="24"/>
      <c r="E61" s="25"/>
      <c r="F61" s="23"/>
      <c r="G61" s="23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86"/>
      <c r="U61" s="86"/>
      <c r="V61" s="86"/>
    </row>
    <row r="62" spans="1:22" ht="15.75">
      <c r="A62" s="23"/>
      <c r="B62" s="9" t="s">
        <v>74</v>
      </c>
      <c r="C62" s="9"/>
      <c r="D62" s="24"/>
      <c r="E62" s="25"/>
      <c r="F62" s="23"/>
      <c r="G62" s="23"/>
      <c r="H62" s="9"/>
      <c r="I62" s="9"/>
      <c r="J62" s="9"/>
      <c r="K62" s="9"/>
      <c r="L62" s="10"/>
      <c r="M62" s="10"/>
      <c r="N62" s="10"/>
      <c r="O62" s="10"/>
      <c r="P62" s="10"/>
      <c r="Q62" s="10"/>
      <c r="R62" s="10"/>
      <c r="S62" s="10"/>
      <c r="T62" s="86"/>
      <c r="U62" s="86"/>
      <c r="V62" s="86"/>
    </row>
    <row r="63" spans="1:22" ht="15.75">
      <c r="A63" s="23"/>
      <c r="B63" s="9"/>
      <c r="C63" s="9"/>
      <c r="D63" s="24"/>
      <c r="E63" s="25"/>
      <c r="F63" s="23"/>
      <c r="G63" s="23"/>
      <c r="H63" s="9"/>
      <c r="I63" s="9"/>
      <c r="J63" s="9"/>
      <c r="K63" s="9"/>
      <c r="L63" s="10"/>
      <c r="M63" s="10"/>
      <c r="N63" s="10"/>
      <c r="O63" s="10"/>
      <c r="P63" s="10"/>
      <c r="Q63" s="10"/>
      <c r="R63" s="10"/>
      <c r="S63" s="10"/>
      <c r="T63" s="86"/>
      <c r="U63" s="86"/>
      <c r="V63" s="86"/>
    </row>
    <row r="64" spans="1:22" ht="15.75">
      <c r="A64" s="23"/>
      <c r="B64" s="9" t="s">
        <v>75</v>
      </c>
      <c r="C64" s="9"/>
      <c r="D64" s="24"/>
      <c r="E64" s="25"/>
      <c r="F64" s="23"/>
      <c r="G64" s="23"/>
      <c r="H64" s="9"/>
      <c r="I64" s="9"/>
      <c r="J64" s="9"/>
      <c r="K64" s="9"/>
      <c r="L64" s="10"/>
      <c r="M64" s="10"/>
      <c r="N64" s="10"/>
      <c r="O64" s="10"/>
      <c r="P64" s="10"/>
      <c r="Q64" s="10"/>
      <c r="R64" s="10"/>
      <c r="S64" s="10"/>
      <c r="T64" s="86"/>
      <c r="U64" s="86"/>
      <c r="V64" s="86"/>
    </row>
    <row r="65" spans="1:22" ht="15.75">
      <c r="A65" s="23"/>
      <c r="B65" s="9"/>
      <c r="C65" s="9"/>
      <c r="D65" s="24"/>
      <c r="E65" s="25"/>
      <c r="F65" s="23"/>
      <c r="G65" s="23"/>
      <c r="H65" s="9"/>
      <c r="I65" s="9"/>
      <c r="J65" s="9"/>
      <c r="K65" s="9"/>
      <c r="L65" s="10"/>
      <c r="M65" s="10"/>
      <c r="N65" s="10"/>
      <c r="O65" s="10"/>
      <c r="P65" s="10"/>
      <c r="Q65" s="10"/>
      <c r="R65" s="10"/>
      <c r="S65" s="10"/>
      <c r="T65" s="86"/>
      <c r="U65" s="86"/>
      <c r="V65" s="86"/>
    </row>
    <row r="66" spans="1:22" ht="15.75">
      <c r="A66" s="23"/>
      <c r="B66" s="9"/>
      <c r="C66" s="9"/>
      <c r="D66" s="24"/>
      <c r="E66" s="25"/>
      <c r="F66" s="23"/>
      <c r="G66" s="23"/>
      <c r="H66" s="9"/>
      <c r="I66" s="9"/>
      <c r="J66" s="9"/>
      <c r="K66" s="9"/>
      <c r="L66" s="10"/>
      <c r="M66" s="10"/>
      <c r="N66" s="10"/>
      <c r="O66" s="10"/>
      <c r="P66" s="10"/>
      <c r="Q66" s="10"/>
      <c r="R66" s="10"/>
      <c r="S66" s="10"/>
      <c r="T66" s="86"/>
      <c r="U66" s="86"/>
      <c r="V66" s="86"/>
    </row>
    <row r="67" spans="1:22" ht="15.75">
      <c r="A67" s="23"/>
      <c r="B67" s="9"/>
      <c r="C67" s="9"/>
      <c r="D67" s="24"/>
      <c r="E67" s="25"/>
      <c r="F67" s="23"/>
      <c r="G67" s="23"/>
      <c r="H67" s="9"/>
      <c r="I67" s="9"/>
      <c r="J67" s="9"/>
      <c r="K67" s="9"/>
      <c r="L67" s="10"/>
      <c r="M67" s="10"/>
      <c r="N67" s="10"/>
      <c r="O67" s="10"/>
      <c r="P67" s="10"/>
      <c r="Q67" s="10"/>
      <c r="R67" s="10"/>
      <c r="S67" s="10"/>
      <c r="T67" s="86"/>
      <c r="U67" s="86"/>
      <c r="V67" s="86"/>
    </row>
    <row r="68" spans="1:22" ht="15.75">
      <c r="A68" s="23"/>
      <c r="B68" s="9"/>
      <c r="C68" s="9"/>
      <c r="D68" s="24"/>
      <c r="E68" s="25"/>
      <c r="F68" s="23"/>
      <c r="G68" s="23"/>
      <c r="H68" s="9"/>
      <c r="I68" s="9"/>
      <c r="J68" s="9"/>
      <c r="K68" s="9"/>
      <c r="L68" s="10"/>
      <c r="M68" s="10"/>
      <c r="N68" s="10"/>
      <c r="O68" s="10"/>
      <c r="P68" s="10"/>
      <c r="Q68" s="10"/>
      <c r="R68" s="10"/>
      <c r="S68" s="10"/>
      <c r="T68" s="86"/>
      <c r="U68" s="86"/>
      <c r="V68" s="86"/>
    </row>
    <row r="69" spans="1:22" ht="15.75">
      <c r="A69" s="23"/>
      <c r="B69" s="9"/>
      <c r="C69" s="9"/>
      <c r="D69" s="24"/>
      <c r="E69" s="25"/>
      <c r="F69" s="23"/>
      <c r="G69" s="23"/>
      <c r="H69" s="9"/>
      <c r="I69" s="9"/>
      <c r="J69" s="9"/>
      <c r="K69" s="9"/>
      <c r="L69" s="10"/>
      <c r="M69" s="10"/>
      <c r="N69" s="10"/>
      <c r="O69" s="10"/>
      <c r="P69" s="10"/>
      <c r="Q69" s="10"/>
      <c r="R69" s="10"/>
      <c r="S69" s="10"/>
      <c r="T69" s="86"/>
      <c r="U69" s="86"/>
      <c r="V69" s="86"/>
    </row>
    <row r="70" spans="1:22" ht="15.75">
      <c r="A70" s="23"/>
      <c r="B70" s="9"/>
      <c r="C70" s="9"/>
      <c r="D70" s="24"/>
      <c r="E70" s="25"/>
      <c r="F70" s="23"/>
      <c r="G70" s="23"/>
      <c r="H70" s="9"/>
      <c r="I70" s="9"/>
      <c r="J70" s="9"/>
      <c r="K70" s="9"/>
      <c r="L70" s="10"/>
      <c r="M70" s="10"/>
      <c r="N70" s="10"/>
      <c r="O70" s="10"/>
      <c r="P70" s="10"/>
      <c r="Q70" s="10"/>
      <c r="R70" s="10"/>
      <c r="S70" s="10"/>
      <c r="T70" s="86"/>
      <c r="U70" s="86"/>
      <c r="V70" s="86"/>
    </row>
    <row r="71" spans="1:22" ht="15.75">
      <c r="A71" s="23"/>
      <c r="B71" s="9"/>
      <c r="C71" s="9"/>
      <c r="D71" s="24"/>
      <c r="E71" s="25"/>
      <c r="F71" s="23"/>
      <c r="G71" s="23"/>
      <c r="H71" s="9"/>
      <c r="I71" s="9"/>
      <c r="J71" s="9"/>
      <c r="K71" s="9"/>
      <c r="L71" s="10"/>
      <c r="M71" s="10"/>
      <c r="N71" s="10"/>
      <c r="O71" s="10"/>
      <c r="P71" s="10"/>
      <c r="Q71" s="10"/>
      <c r="R71" s="10"/>
      <c r="S71" s="10"/>
      <c r="T71" s="86"/>
      <c r="U71" s="86"/>
      <c r="V71" s="86"/>
    </row>
    <row r="72" spans="1:22" ht="15.75">
      <c r="A72" s="23"/>
      <c r="B72" s="9"/>
      <c r="C72" s="9"/>
      <c r="D72" s="24"/>
      <c r="E72" s="25"/>
      <c r="F72" s="23"/>
      <c r="G72" s="23"/>
      <c r="H72" s="9"/>
      <c r="I72" s="9"/>
      <c r="J72" s="9"/>
      <c r="K72" s="9"/>
      <c r="L72" s="10"/>
      <c r="M72" s="10"/>
      <c r="N72" s="10"/>
      <c r="O72" s="10"/>
      <c r="P72" s="10"/>
      <c r="Q72" s="10"/>
      <c r="R72" s="10"/>
      <c r="S72" s="10"/>
      <c r="T72" s="86"/>
      <c r="U72" s="86"/>
      <c r="V72" s="86"/>
    </row>
    <row r="73" spans="1:22" ht="15.75">
      <c r="A73" s="23"/>
      <c r="B73" s="9"/>
      <c r="C73" s="9"/>
      <c r="D73" s="24"/>
      <c r="E73" s="25"/>
      <c r="F73" s="23"/>
      <c r="G73" s="23"/>
      <c r="H73" s="9"/>
      <c r="I73" s="9"/>
      <c r="J73" s="9"/>
      <c r="K73" s="9"/>
      <c r="L73" s="10"/>
      <c r="M73" s="10"/>
      <c r="N73" s="10"/>
      <c r="O73" s="10"/>
      <c r="P73" s="10"/>
      <c r="Q73" s="10"/>
      <c r="R73" s="10"/>
      <c r="S73" s="10"/>
      <c r="T73" s="86"/>
      <c r="U73" s="86"/>
      <c r="V73" s="86"/>
    </row>
    <row r="74" spans="1:22" ht="15.75">
      <c r="A74" s="23"/>
      <c r="B74" s="9"/>
      <c r="C74" s="9"/>
      <c r="D74" s="24"/>
      <c r="E74" s="25"/>
      <c r="F74" s="23"/>
      <c r="G74" s="23"/>
      <c r="H74" s="9"/>
      <c r="I74" s="9"/>
      <c r="J74" s="9"/>
      <c r="K74" s="9"/>
      <c r="L74" s="10"/>
      <c r="M74" s="10"/>
      <c r="N74" s="10"/>
      <c r="O74" s="10"/>
      <c r="P74" s="10"/>
      <c r="Q74" s="10"/>
      <c r="R74" s="10"/>
      <c r="S74" s="10"/>
      <c r="T74" s="86"/>
      <c r="U74" s="86"/>
      <c r="V74" s="86"/>
    </row>
    <row r="75" spans="1:22" ht="15.75">
      <c r="A75" s="23"/>
      <c r="B75" s="9"/>
      <c r="C75" s="9"/>
      <c r="D75" s="24"/>
      <c r="E75" s="25"/>
      <c r="F75" s="23"/>
      <c r="G75" s="23"/>
      <c r="H75" s="9"/>
      <c r="I75" s="9"/>
      <c r="J75" s="9"/>
      <c r="K75" s="9"/>
      <c r="L75" s="10"/>
      <c r="M75" s="10"/>
      <c r="N75" s="10"/>
      <c r="O75" s="10"/>
      <c r="P75" s="10"/>
      <c r="Q75" s="10"/>
      <c r="R75" s="10"/>
      <c r="S75" s="10"/>
      <c r="T75" s="86"/>
      <c r="U75" s="86"/>
      <c r="V75" s="86"/>
    </row>
    <row r="76" spans="1:22" ht="15.75">
      <c r="A76" s="23"/>
      <c r="B76" s="9"/>
      <c r="C76" s="9"/>
      <c r="D76" s="24"/>
      <c r="E76" s="25"/>
      <c r="F76" s="23"/>
      <c r="G76" s="23"/>
      <c r="H76" s="9"/>
      <c r="I76" s="9"/>
      <c r="J76" s="9"/>
      <c r="K76" s="9"/>
      <c r="L76" s="10"/>
      <c r="M76" s="10"/>
      <c r="N76" s="10"/>
      <c r="O76" s="10"/>
      <c r="P76" s="10"/>
      <c r="Q76" s="10"/>
      <c r="R76" s="10"/>
      <c r="S76" s="10"/>
      <c r="T76" s="86"/>
      <c r="U76" s="86"/>
      <c r="V76" s="86"/>
    </row>
    <row r="77" spans="1:22" ht="15.75">
      <c r="A77" s="23"/>
      <c r="B77" s="9"/>
      <c r="C77" s="9"/>
      <c r="D77" s="24"/>
      <c r="E77" s="25"/>
      <c r="F77" s="23"/>
      <c r="G77" s="23"/>
      <c r="H77" s="9"/>
      <c r="I77" s="9"/>
      <c r="J77" s="9"/>
      <c r="K77" s="9"/>
      <c r="L77" s="10"/>
      <c r="M77" s="10"/>
      <c r="N77" s="10"/>
      <c r="O77" s="10"/>
      <c r="P77" s="10"/>
      <c r="Q77" s="10"/>
      <c r="R77" s="10"/>
      <c r="S77" s="10"/>
      <c r="T77" s="86"/>
      <c r="U77" s="86"/>
      <c r="V77" s="86"/>
    </row>
    <row r="78" spans="1:22" ht="15.75">
      <c r="A78" s="23"/>
      <c r="B78" s="9"/>
      <c r="C78" s="9"/>
      <c r="D78" s="24"/>
      <c r="E78" s="25"/>
      <c r="F78" s="23"/>
      <c r="G78" s="23"/>
      <c r="H78" s="9"/>
      <c r="I78" s="9"/>
      <c r="J78" s="9"/>
      <c r="K78" s="9"/>
      <c r="L78" s="10"/>
      <c r="M78" s="10"/>
      <c r="N78" s="10"/>
      <c r="O78" s="10"/>
      <c r="P78" s="10"/>
      <c r="Q78" s="10"/>
      <c r="R78" s="10"/>
      <c r="S78" s="10"/>
      <c r="T78" s="86"/>
      <c r="U78" s="86"/>
      <c r="V78" s="86"/>
    </row>
    <row r="79" spans="1:22" ht="15.75">
      <c r="A79" s="23"/>
      <c r="B79" s="9"/>
      <c r="C79" s="9"/>
      <c r="D79" s="24"/>
      <c r="E79" s="25"/>
      <c r="F79" s="23"/>
      <c r="G79" s="23"/>
      <c r="H79" s="9"/>
      <c r="I79" s="9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86"/>
      <c r="U79" s="86"/>
      <c r="V79" s="86"/>
    </row>
    <row r="80" spans="1:22" ht="15.75">
      <c r="A80" s="23"/>
      <c r="B80" s="9"/>
      <c r="C80" s="9"/>
      <c r="D80" s="24"/>
      <c r="E80" s="25"/>
      <c r="F80" s="23"/>
      <c r="G80" s="23"/>
      <c r="H80" s="9"/>
      <c r="I80" s="9"/>
      <c r="J80" s="9"/>
      <c r="K80" s="9"/>
      <c r="L80" s="10"/>
      <c r="M80" s="10"/>
      <c r="N80" s="10"/>
      <c r="O80" s="10"/>
      <c r="P80" s="10"/>
      <c r="Q80" s="10"/>
      <c r="R80" s="10"/>
      <c r="S80" s="10"/>
      <c r="T80" s="86"/>
      <c r="U80" s="86"/>
      <c r="V80" s="86"/>
    </row>
    <row r="81" spans="1:22" ht="15.75">
      <c r="A81" s="23"/>
      <c r="B81" s="9"/>
      <c r="C81" s="9"/>
      <c r="D81" s="24"/>
      <c r="E81" s="25"/>
      <c r="F81" s="23"/>
      <c r="G81" s="23"/>
      <c r="H81" s="9"/>
      <c r="I81" s="9"/>
      <c r="J81" s="9"/>
      <c r="K81" s="9"/>
      <c r="L81" s="10"/>
      <c r="M81" s="10"/>
      <c r="N81" s="10"/>
      <c r="O81" s="10"/>
      <c r="P81" s="10"/>
      <c r="Q81" s="10"/>
      <c r="R81" s="10"/>
      <c r="S81" s="10"/>
      <c r="T81" s="86"/>
      <c r="U81" s="86"/>
      <c r="V81" s="86"/>
    </row>
    <row r="82" spans="1:22" ht="15.75">
      <c r="A82" s="23"/>
      <c r="B82" s="9"/>
      <c r="C82" s="9"/>
      <c r="D82" s="24"/>
      <c r="E82" s="25"/>
      <c r="F82" s="23"/>
      <c r="G82" s="23"/>
      <c r="H82" s="9"/>
      <c r="I82" s="9"/>
      <c r="J82" s="9"/>
      <c r="K82" s="9"/>
      <c r="L82" s="10"/>
      <c r="M82" s="10"/>
      <c r="N82" s="10"/>
      <c r="O82" s="10"/>
      <c r="P82" s="10"/>
      <c r="Q82" s="10"/>
      <c r="R82" s="10"/>
      <c r="S82" s="10"/>
      <c r="T82" s="86"/>
      <c r="U82" s="86"/>
      <c r="V82" s="86"/>
    </row>
    <row r="83" spans="1:22" ht="15.75">
      <c r="A83" s="23"/>
      <c r="B83" s="9"/>
      <c r="C83" s="9"/>
      <c r="D83" s="24"/>
      <c r="E83" s="25"/>
      <c r="F83" s="23"/>
      <c r="G83" s="23"/>
      <c r="H83" s="9"/>
      <c r="I83" s="9"/>
      <c r="J83" s="9"/>
      <c r="K83" s="9"/>
      <c r="L83" s="10"/>
      <c r="M83" s="10"/>
      <c r="N83" s="10"/>
      <c r="O83" s="10"/>
      <c r="P83" s="10"/>
      <c r="Q83" s="10"/>
      <c r="R83" s="10"/>
      <c r="S83" s="10"/>
      <c r="T83" s="86"/>
      <c r="U83" s="86"/>
      <c r="V83" s="86"/>
    </row>
    <row r="84" spans="1:22" ht="15.75">
      <c r="A84" s="23"/>
      <c r="B84" s="9"/>
      <c r="C84" s="9"/>
      <c r="D84" s="24"/>
      <c r="E84" s="25"/>
      <c r="F84" s="23"/>
      <c r="G84" s="23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  <c r="T84" s="86"/>
      <c r="U84" s="86"/>
      <c r="V84" s="86"/>
    </row>
    <row r="85" spans="1:22" ht="15.75">
      <c r="A85" s="23"/>
      <c r="B85" s="9"/>
      <c r="C85" s="9"/>
      <c r="D85" s="24"/>
      <c r="E85" s="25"/>
      <c r="F85" s="23"/>
      <c r="G85" s="23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  <c r="S85" s="10"/>
      <c r="T85" s="86"/>
      <c r="U85" s="86"/>
      <c r="V85" s="86"/>
    </row>
    <row r="86" spans="1:22" ht="15.75">
      <c r="A86" s="23"/>
      <c r="B86" s="9"/>
      <c r="C86" s="9"/>
      <c r="D86" s="24"/>
      <c r="E86" s="25"/>
      <c r="F86" s="23"/>
      <c r="G86" s="23"/>
      <c r="H86" s="9"/>
      <c r="I86" s="9"/>
      <c r="J86" s="9"/>
      <c r="K86" s="9"/>
      <c r="L86" s="10"/>
      <c r="M86" s="10"/>
      <c r="N86" s="10"/>
      <c r="O86" s="10"/>
      <c r="P86" s="10"/>
      <c r="Q86" s="10"/>
      <c r="R86" s="10"/>
      <c r="S86" s="10"/>
      <c r="T86" s="86"/>
      <c r="U86" s="86"/>
      <c r="V86" s="86"/>
    </row>
    <row r="87" spans="1:22" ht="15.75">
      <c r="A87" s="23"/>
      <c r="B87" s="9"/>
      <c r="C87" s="9"/>
      <c r="D87" s="24"/>
      <c r="E87" s="25"/>
      <c r="F87" s="23"/>
      <c r="G87" s="23"/>
      <c r="H87" s="9"/>
      <c r="I87" s="9"/>
      <c r="J87" s="9"/>
      <c r="K87" s="9"/>
      <c r="L87" s="10"/>
      <c r="M87" s="10"/>
      <c r="N87" s="10"/>
      <c r="O87" s="10"/>
      <c r="P87" s="10"/>
      <c r="Q87" s="10"/>
      <c r="R87" s="10"/>
      <c r="S87" s="10"/>
      <c r="T87" s="86"/>
      <c r="U87" s="86"/>
      <c r="V87" s="86"/>
    </row>
    <row r="88" spans="1:22" ht="15.75">
      <c r="A88" s="23"/>
      <c r="B88" s="9"/>
      <c r="C88" s="9"/>
      <c r="D88" s="24"/>
      <c r="E88" s="25"/>
      <c r="F88" s="23"/>
      <c r="G88" s="23"/>
      <c r="H88" s="9"/>
      <c r="I88" s="9"/>
      <c r="J88" s="9"/>
      <c r="K88" s="9"/>
      <c r="L88" s="10"/>
      <c r="M88" s="10"/>
      <c r="N88" s="10"/>
      <c r="O88" s="10"/>
      <c r="P88" s="10"/>
      <c r="Q88" s="10"/>
      <c r="R88" s="10"/>
      <c r="S88" s="10"/>
      <c r="T88" s="86"/>
      <c r="U88" s="86"/>
      <c r="V88" s="86"/>
    </row>
    <row r="89" spans="1:22" ht="15.75">
      <c r="A89" s="23"/>
      <c r="B89" s="9"/>
      <c r="C89" s="9"/>
      <c r="D89" s="24"/>
      <c r="E89" s="25"/>
      <c r="F89" s="23"/>
      <c r="G89" s="23"/>
      <c r="H89" s="9"/>
      <c r="I89" s="9"/>
      <c r="J89" s="9"/>
      <c r="K89" s="9"/>
      <c r="L89" s="10"/>
      <c r="M89" s="10"/>
      <c r="N89" s="10"/>
      <c r="O89" s="10"/>
      <c r="P89" s="10"/>
      <c r="Q89" s="10"/>
      <c r="R89" s="10"/>
      <c r="S89" s="10"/>
      <c r="T89" s="86"/>
      <c r="U89" s="86"/>
      <c r="V89" s="86"/>
    </row>
    <row r="90" spans="1:22" ht="15.75">
      <c r="A90" s="23"/>
      <c r="B90" s="9"/>
      <c r="C90" s="9"/>
      <c r="D90" s="24"/>
      <c r="E90" s="25"/>
      <c r="F90" s="23"/>
      <c r="G90" s="23"/>
      <c r="H90" s="9"/>
      <c r="I90" s="9"/>
      <c r="J90" s="9"/>
      <c r="K90" s="9"/>
      <c r="L90" s="10"/>
      <c r="M90" s="10"/>
      <c r="N90" s="10"/>
      <c r="O90" s="10"/>
      <c r="P90" s="10"/>
      <c r="Q90" s="10"/>
      <c r="R90" s="10"/>
      <c r="S90" s="10"/>
      <c r="T90" s="86"/>
      <c r="U90" s="86"/>
      <c r="V90" s="86"/>
    </row>
    <row r="91" spans="1:22" ht="15.75">
      <c r="A91" s="23"/>
      <c r="B91" s="9"/>
      <c r="C91" s="9"/>
      <c r="D91" s="24"/>
      <c r="E91" s="25"/>
      <c r="F91" s="23"/>
      <c r="G91" s="23"/>
      <c r="H91" s="9"/>
      <c r="I91" s="9"/>
      <c r="J91" s="9"/>
      <c r="K91" s="9"/>
      <c r="L91" s="10"/>
      <c r="M91" s="10"/>
      <c r="N91" s="10"/>
      <c r="O91" s="10"/>
      <c r="P91" s="10"/>
      <c r="Q91" s="10"/>
      <c r="R91" s="10"/>
      <c r="S91" s="10"/>
      <c r="T91" s="86"/>
      <c r="U91" s="86"/>
      <c r="V91" s="86"/>
    </row>
    <row r="92" spans="1:22" ht="15.75">
      <c r="A92" s="23"/>
      <c r="B92" s="9"/>
      <c r="C92" s="9"/>
      <c r="D92" s="24"/>
      <c r="E92" s="25"/>
      <c r="F92" s="23"/>
      <c r="G92" s="23"/>
      <c r="H92" s="9"/>
      <c r="I92" s="9"/>
      <c r="J92" s="9"/>
      <c r="K92" s="9"/>
      <c r="L92" s="10"/>
      <c r="M92" s="10"/>
      <c r="N92" s="10"/>
      <c r="O92" s="10"/>
      <c r="P92" s="10"/>
      <c r="Q92" s="10"/>
      <c r="R92" s="10"/>
      <c r="S92" s="10"/>
      <c r="T92" s="86"/>
      <c r="U92" s="86"/>
      <c r="V92" s="86"/>
    </row>
    <row r="93" spans="1:22" ht="15.75">
      <c r="A93" s="23"/>
      <c r="B93" s="9"/>
      <c r="C93" s="9"/>
      <c r="D93" s="24"/>
      <c r="E93" s="25"/>
      <c r="F93" s="23"/>
      <c r="G93" s="23"/>
      <c r="H93" s="9"/>
      <c r="I93" s="9"/>
      <c r="J93" s="9"/>
      <c r="K93" s="9"/>
      <c r="L93" s="10"/>
      <c r="M93" s="10"/>
      <c r="N93" s="10"/>
      <c r="O93" s="10"/>
      <c r="P93" s="10"/>
      <c r="Q93" s="10"/>
      <c r="R93" s="10"/>
      <c r="S93" s="10"/>
      <c r="T93" s="86"/>
      <c r="U93" s="86"/>
      <c r="V93" s="86"/>
    </row>
    <row r="94" spans="1:22" ht="15.75">
      <c r="A94" s="23"/>
      <c r="B94" s="9"/>
      <c r="C94" s="9"/>
      <c r="D94" s="24"/>
      <c r="E94" s="25"/>
      <c r="F94" s="23"/>
      <c r="G94" s="23"/>
      <c r="H94" s="9"/>
      <c r="I94" s="9"/>
      <c r="J94" s="9"/>
      <c r="K94" s="9"/>
      <c r="L94" s="10"/>
      <c r="M94" s="10"/>
      <c r="N94" s="10"/>
      <c r="O94" s="10"/>
      <c r="P94" s="10"/>
      <c r="Q94" s="10"/>
      <c r="R94" s="10"/>
      <c r="S94" s="10"/>
      <c r="T94" s="86"/>
      <c r="U94" s="86"/>
      <c r="V94" s="86"/>
    </row>
    <row r="95" spans="1:22" ht="15.75">
      <c r="A95" s="23"/>
      <c r="B95" s="9"/>
      <c r="C95" s="9"/>
      <c r="D95" s="24"/>
      <c r="E95" s="25"/>
      <c r="F95" s="23"/>
      <c r="G95" s="23"/>
      <c r="H95" s="9"/>
      <c r="I95" s="9"/>
      <c r="J95" s="9"/>
      <c r="K95" s="9"/>
      <c r="L95" s="10"/>
      <c r="M95" s="10"/>
      <c r="N95" s="10"/>
      <c r="O95" s="10"/>
      <c r="P95" s="10"/>
      <c r="Q95" s="10"/>
      <c r="R95" s="10"/>
      <c r="S95" s="10"/>
      <c r="T95" s="86"/>
      <c r="U95" s="86"/>
      <c r="V95" s="86"/>
    </row>
    <row r="96" spans="1:22" ht="15.75">
      <c r="A96" s="23"/>
      <c r="B96" s="9"/>
      <c r="C96" s="9"/>
      <c r="D96" s="24"/>
      <c r="E96" s="25"/>
      <c r="F96" s="23"/>
      <c r="G96" s="23"/>
      <c r="H96" s="9"/>
      <c r="I96" s="9"/>
      <c r="J96" s="9"/>
      <c r="K96" s="9"/>
      <c r="L96" s="10"/>
      <c r="M96" s="10"/>
      <c r="N96" s="10"/>
      <c r="O96" s="10"/>
      <c r="P96" s="10"/>
      <c r="Q96" s="10"/>
      <c r="R96" s="10"/>
      <c r="S96" s="10"/>
      <c r="T96" s="86"/>
      <c r="U96" s="86"/>
      <c r="V96" s="86"/>
    </row>
    <row r="97" spans="1:22" ht="15.75">
      <c r="A97" s="23"/>
      <c r="B97" s="9"/>
      <c r="C97" s="9"/>
      <c r="D97" s="24"/>
      <c r="E97" s="25"/>
      <c r="F97" s="23"/>
      <c r="G97" s="23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86"/>
      <c r="U97" s="86"/>
      <c r="V97" s="86"/>
    </row>
    <row r="98" spans="1:22" ht="15.75">
      <c r="A98" s="23"/>
      <c r="B98" s="9"/>
      <c r="C98" s="9"/>
      <c r="D98" s="24"/>
      <c r="E98" s="25"/>
      <c r="F98" s="23"/>
      <c r="G98" s="23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86"/>
      <c r="U98" s="86"/>
      <c r="V98" s="86"/>
    </row>
    <row r="99" spans="1:22" ht="15.75">
      <c r="A99" s="23"/>
      <c r="B99" s="9"/>
      <c r="C99" s="9"/>
      <c r="D99" s="24"/>
      <c r="E99" s="25"/>
      <c r="F99" s="23"/>
      <c r="G99" s="23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86"/>
      <c r="U99" s="86"/>
      <c r="V99" s="86"/>
    </row>
    <row r="100" spans="1:22" ht="15.75">
      <c r="A100" s="23"/>
      <c r="B100" s="9"/>
      <c r="C100" s="9"/>
      <c r="D100" s="24"/>
      <c r="E100" s="25"/>
      <c r="F100" s="23"/>
      <c r="G100" s="23"/>
      <c r="H100" s="9"/>
      <c r="I100" s="9"/>
      <c r="J100" s="9"/>
      <c r="K100" s="9"/>
      <c r="L100" s="10"/>
      <c r="M100" s="10"/>
      <c r="N100" s="10"/>
      <c r="O100" s="10"/>
      <c r="P100" s="10"/>
      <c r="Q100" s="10"/>
      <c r="R100" s="10"/>
      <c r="S100" s="10"/>
      <c r="T100" s="86"/>
      <c r="U100" s="86"/>
      <c r="V100" s="86"/>
    </row>
    <row r="101" spans="1:22" ht="15.75">
      <c r="A101" s="23"/>
      <c r="B101" s="9"/>
      <c r="C101" s="9"/>
      <c r="D101" s="24"/>
      <c r="E101" s="25"/>
      <c r="F101" s="23"/>
      <c r="G101" s="23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86"/>
      <c r="U101" s="86"/>
      <c r="V101" s="86"/>
    </row>
    <row r="102" spans="1:22" ht="15.75">
      <c r="A102" s="23"/>
      <c r="B102" s="9"/>
      <c r="C102" s="9"/>
      <c r="D102" s="24"/>
      <c r="E102" s="25"/>
      <c r="F102" s="23"/>
      <c r="G102" s="23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  <c r="S102" s="10"/>
      <c r="T102" s="86"/>
      <c r="U102" s="86"/>
      <c r="V102" s="86"/>
    </row>
    <row r="103" spans="1:22" ht="15.75">
      <c r="A103" s="23"/>
      <c r="B103" s="9"/>
      <c r="C103" s="9"/>
      <c r="D103" s="24"/>
      <c r="E103" s="25"/>
      <c r="F103" s="23"/>
      <c r="G103" s="23"/>
      <c r="H103" s="9"/>
      <c r="I103" s="9"/>
      <c r="J103" s="9"/>
      <c r="K103" s="9"/>
      <c r="L103" s="10"/>
      <c r="M103" s="10"/>
      <c r="N103" s="10"/>
      <c r="O103" s="10"/>
      <c r="P103" s="10"/>
      <c r="Q103" s="10"/>
      <c r="R103" s="10"/>
      <c r="S103" s="10"/>
      <c r="T103" s="86"/>
      <c r="U103" s="86"/>
      <c r="V103" s="86"/>
    </row>
    <row r="104" spans="1:22" ht="15.75">
      <c r="A104" s="23"/>
      <c r="B104" s="9"/>
      <c r="C104" s="9"/>
      <c r="D104" s="24"/>
      <c r="E104" s="25"/>
      <c r="F104" s="23"/>
      <c r="G104" s="23"/>
      <c r="H104" s="9"/>
      <c r="I104" s="9"/>
      <c r="J104" s="9"/>
      <c r="K104" s="9"/>
      <c r="L104" s="10"/>
      <c r="M104" s="10"/>
      <c r="N104" s="10"/>
      <c r="O104" s="10"/>
      <c r="P104" s="10"/>
      <c r="Q104" s="10"/>
      <c r="R104" s="10"/>
      <c r="S104" s="10"/>
      <c r="T104" s="86"/>
      <c r="U104" s="86"/>
      <c r="V104" s="86"/>
    </row>
    <row r="105" spans="1:22" ht="15.75">
      <c r="A105" s="23"/>
      <c r="B105" s="9"/>
      <c r="C105" s="9"/>
      <c r="D105" s="24"/>
      <c r="E105" s="25"/>
      <c r="F105" s="23"/>
      <c r="G105" s="23"/>
      <c r="H105" s="9"/>
      <c r="I105" s="9"/>
      <c r="J105" s="9"/>
      <c r="K105" s="9"/>
      <c r="L105" s="10"/>
      <c r="M105" s="10"/>
      <c r="N105" s="10"/>
      <c r="O105" s="10"/>
      <c r="P105" s="10"/>
      <c r="Q105" s="10"/>
      <c r="R105" s="10"/>
      <c r="S105" s="10"/>
      <c r="T105" s="86"/>
      <c r="U105" s="86"/>
      <c r="V105" s="86"/>
    </row>
    <row r="106" spans="1:22" ht="15.75">
      <c r="A106" s="23"/>
      <c r="B106" s="9"/>
      <c r="C106" s="9"/>
      <c r="D106" s="24"/>
      <c r="E106" s="25"/>
      <c r="F106" s="23"/>
      <c r="G106" s="23"/>
      <c r="H106" s="9"/>
      <c r="I106" s="9"/>
      <c r="J106" s="9"/>
      <c r="K106" s="9"/>
      <c r="L106" s="10"/>
      <c r="M106" s="10"/>
      <c r="N106" s="10"/>
      <c r="O106" s="10"/>
      <c r="P106" s="10"/>
      <c r="Q106" s="10"/>
      <c r="R106" s="10"/>
      <c r="S106" s="10"/>
      <c r="T106" s="86"/>
      <c r="U106" s="86"/>
      <c r="V106" s="86"/>
    </row>
    <row r="107" spans="1:22" ht="15.75">
      <c r="A107" s="23"/>
      <c r="B107" s="9"/>
      <c r="C107" s="9"/>
      <c r="D107" s="24"/>
      <c r="E107" s="25"/>
      <c r="F107" s="23"/>
      <c r="G107" s="23"/>
      <c r="H107" s="9"/>
      <c r="I107" s="9"/>
      <c r="J107" s="9"/>
      <c r="K107" s="9"/>
      <c r="L107" s="10"/>
      <c r="M107" s="10"/>
      <c r="N107" s="10"/>
      <c r="O107" s="10"/>
      <c r="P107" s="10"/>
      <c r="Q107" s="10"/>
      <c r="R107" s="10"/>
      <c r="S107" s="10"/>
      <c r="T107" s="86"/>
      <c r="U107" s="86"/>
      <c r="V107" s="86"/>
    </row>
    <row r="108" spans="1:22" ht="15.75">
      <c r="A108" s="23"/>
      <c r="B108" s="9"/>
      <c r="C108" s="9"/>
      <c r="D108" s="24"/>
      <c r="E108" s="25"/>
      <c r="F108" s="23"/>
      <c r="G108" s="23"/>
      <c r="H108" s="9"/>
      <c r="I108" s="9"/>
      <c r="J108" s="9"/>
      <c r="K108" s="9"/>
      <c r="L108" s="10"/>
      <c r="M108" s="10"/>
      <c r="N108" s="10"/>
      <c r="O108" s="10"/>
      <c r="P108" s="10"/>
      <c r="Q108" s="10"/>
      <c r="R108" s="10"/>
      <c r="S108" s="10"/>
      <c r="T108" s="86"/>
      <c r="U108" s="86"/>
      <c r="V108" s="86"/>
    </row>
    <row r="109" spans="1:22" ht="15.75">
      <c r="A109" s="23"/>
      <c r="B109" s="9"/>
      <c r="C109" s="9"/>
      <c r="D109" s="24"/>
      <c r="E109" s="25"/>
      <c r="F109" s="23"/>
      <c r="G109" s="23"/>
      <c r="H109" s="9"/>
      <c r="I109" s="9"/>
      <c r="J109" s="9"/>
      <c r="K109" s="9"/>
      <c r="L109" s="10"/>
      <c r="M109" s="10"/>
      <c r="N109" s="10"/>
      <c r="O109" s="10"/>
      <c r="P109" s="10"/>
      <c r="Q109" s="10"/>
      <c r="R109" s="10"/>
      <c r="S109" s="10"/>
      <c r="T109" s="86"/>
      <c r="U109" s="86"/>
      <c r="V109" s="86"/>
    </row>
    <row r="110" spans="1:22" ht="15.75">
      <c r="A110" s="23"/>
      <c r="B110" s="9"/>
      <c r="C110" s="9"/>
      <c r="D110" s="24"/>
      <c r="E110" s="25"/>
      <c r="F110" s="23"/>
      <c r="G110" s="23"/>
      <c r="H110" s="9"/>
      <c r="I110" s="9"/>
      <c r="J110" s="9"/>
      <c r="K110" s="9"/>
      <c r="L110" s="10"/>
      <c r="M110" s="10"/>
      <c r="N110" s="10"/>
      <c r="O110" s="10"/>
      <c r="P110" s="10"/>
      <c r="Q110" s="10"/>
      <c r="R110" s="10"/>
      <c r="S110" s="10"/>
      <c r="T110" s="86"/>
      <c r="U110" s="86"/>
      <c r="V110" s="86"/>
    </row>
    <row r="111" spans="1:22" ht="15.75">
      <c r="A111" s="23"/>
      <c r="B111" s="9"/>
      <c r="C111" s="9"/>
      <c r="D111" s="24"/>
      <c r="E111" s="25"/>
      <c r="F111" s="23"/>
      <c r="G111" s="23"/>
      <c r="H111" s="9"/>
      <c r="I111" s="9"/>
      <c r="J111" s="9"/>
      <c r="K111" s="9"/>
      <c r="L111" s="10"/>
      <c r="M111" s="10"/>
      <c r="N111" s="10"/>
      <c r="O111" s="10"/>
      <c r="P111" s="10"/>
      <c r="Q111" s="10"/>
      <c r="R111" s="10"/>
      <c r="S111" s="10"/>
      <c r="T111" s="86"/>
      <c r="U111" s="86"/>
      <c r="V111" s="86"/>
    </row>
    <row r="112" spans="1:22" ht="15.75">
      <c r="A112" s="23"/>
      <c r="B112" s="9"/>
      <c r="C112" s="9"/>
      <c r="D112" s="24"/>
      <c r="E112" s="25"/>
      <c r="F112" s="23"/>
      <c r="G112" s="23"/>
      <c r="H112" s="9"/>
      <c r="I112" s="9"/>
      <c r="J112" s="9"/>
      <c r="K112" s="9"/>
      <c r="L112" s="10"/>
      <c r="M112" s="10"/>
      <c r="N112" s="10"/>
      <c r="O112" s="10"/>
      <c r="P112" s="10"/>
      <c r="Q112" s="10"/>
      <c r="R112" s="10"/>
      <c r="S112" s="10"/>
      <c r="T112" s="86"/>
      <c r="U112" s="86"/>
      <c r="V112" s="86"/>
    </row>
    <row r="113" spans="1:22" ht="15.75">
      <c r="A113" s="23"/>
      <c r="B113" s="9"/>
      <c r="C113" s="9"/>
      <c r="D113" s="24"/>
      <c r="E113" s="25"/>
      <c r="F113" s="23"/>
      <c r="G113" s="23"/>
      <c r="H113" s="9"/>
      <c r="I113" s="9"/>
      <c r="J113" s="9"/>
      <c r="K113" s="9"/>
      <c r="L113" s="10"/>
      <c r="M113" s="10"/>
      <c r="N113" s="10"/>
      <c r="O113" s="10"/>
      <c r="P113" s="10"/>
      <c r="Q113" s="10"/>
      <c r="R113" s="10"/>
      <c r="S113" s="10"/>
      <c r="T113" s="86"/>
      <c r="U113" s="86"/>
      <c r="V113" s="86"/>
    </row>
    <row r="114" spans="1:22" ht="15.75">
      <c r="A114" s="23"/>
      <c r="B114" s="9"/>
      <c r="C114" s="9"/>
      <c r="D114" s="24"/>
      <c r="E114" s="25"/>
      <c r="F114" s="23"/>
      <c r="G114" s="23"/>
      <c r="H114" s="9"/>
      <c r="I114" s="9"/>
      <c r="J114" s="9"/>
      <c r="K114" s="9"/>
      <c r="L114" s="10"/>
      <c r="M114" s="10"/>
      <c r="N114" s="10"/>
      <c r="O114" s="10"/>
      <c r="P114" s="10"/>
      <c r="Q114" s="10"/>
      <c r="R114" s="10"/>
      <c r="S114" s="10"/>
      <c r="T114" s="86"/>
      <c r="U114" s="86"/>
      <c r="V114" s="86"/>
    </row>
    <row r="115" spans="1:22" ht="15.75">
      <c r="A115" s="23"/>
      <c r="B115" s="9"/>
      <c r="C115" s="9"/>
      <c r="D115" s="24"/>
      <c r="E115" s="25"/>
      <c r="F115" s="23"/>
      <c r="G115" s="23"/>
      <c r="H115" s="9"/>
      <c r="I115" s="9"/>
      <c r="J115" s="9"/>
      <c r="K115" s="9"/>
      <c r="L115" s="10"/>
      <c r="M115" s="10"/>
      <c r="N115" s="10"/>
      <c r="O115" s="10"/>
      <c r="P115" s="10"/>
      <c r="Q115" s="10"/>
      <c r="R115" s="10"/>
      <c r="S115" s="10"/>
      <c r="T115" s="86"/>
      <c r="U115" s="86"/>
      <c r="V115" s="86"/>
    </row>
    <row r="116" spans="1:22" ht="15.75">
      <c r="A116" s="23"/>
      <c r="B116" s="9"/>
      <c r="C116" s="9"/>
      <c r="D116" s="24"/>
      <c r="E116" s="25"/>
      <c r="F116" s="23"/>
      <c r="G116" s="23"/>
      <c r="H116" s="9"/>
      <c r="I116" s="9"/>
      <c r="J116" s="9"/>
      <c r="K116" s="9"/>
      <c r="L116" s="10"/>
      <c r="M116" s="10"/>
      <c r="N116" s="10"/>
      <c r="O116" s="10"/>
      <c r="P116" s="10"/>
      <c r="Q116" s="10"/>
      <c r="R116" s="10"/>
      <c r="S116" s="10"/>
      <c r="T116" s="86"/>
      <c r="U116" s="86"/>
      <c r="V116" s="86"/>
    </row>
    <row r="117" spans="1:22" ht="15.75">
      <c r="A117" s="23"/>
      <c r="B117" s="9"/>
      <c r="C117" s="9"/>
      <c r="D117" s="24"/>
      <c r="E117" s="25"/>
      <c r="F117" s="23"/>
      <c r="G117" s="23"/>
      <c r="H117" s="9"/>
      <c r="I117" s="9"/>
      <c r="J117" s="9"/>
      <c r="K117" s="9"/>
      <c r="L117" s="10"/>
      <c r="M117" s="10"/>
      <c r="N117" s="10"/>
      <c r="O117" s="10"/>
      <c r="P117" s="10"/>
      <c r="Q117" s="10"/>
      <c r="R117" s="10"/>
      <c r="S117" s="10"/>
      <c r="T117" s="86"/>
      <c r="U117" s="86"/>
      <c r="V117" s="86"/>
    </row>
    <row r="118" spans="1:22" ht="15.75">
      <c r="A118" s="23"/>
      <c r="B118" s="9"/>
      <c r="C118" s="9"/>
      <c r="D118" s="24"/>
      <c r="E118" s="25"/>
      <c r="F118" s="23"/>
      <c r="G118" s="23"/>
      <c r="H118" s="9"/>
      <c r="I118" s="9"/>
      <c r="J118" s="9"/>
      <c r="K118" s="9"/>
      <c r="L118" s="10"/>
      <c r="M118" s="10"/>
      <c r="N118" s="10"/>
      <c r="O118" s="10"/>
      <c r="P118" s="10"/>
      <c r="Q118" s="10"/>
      <c r="R118" s="10"/>
      <c r="S118" s="10"/>
      <c r="T118" s="86"/>
      <c r="U118" s="86"/>
      <c r="V118" s="86"/>
    </row>
    <row r="119" spans="1:22" ht="15.75">
      <c r="A119" s="23"/>
      <c r="B119" s="9"/>
      <c r="C119" s="9"/>
      <c r="D119" s="24"/>
      <c r="E119" s="25"/>
      <c r="F119" s="23"/>
      <c r="G119" s="23"/>
      <c r="H119" s="9"/>
      <c r="I119" s="9"/>
      <c r="J119" s="9"/>
      <c r="K119" s="9"/>
      <c r="L119" s="10"/>
      <c r="M119" s="10"/>
      <c r="N119" s="10"/>
      <c r="O119" s="10"/>
      <c r="P119" s="10"/>
      <c r="Q119" s="10"/>
      <c r="R119" s="10"/>
      <c r="S119" s="10"/>
      <c r="T119" s="86"/>
      <c r="U119" s="86"/>
      <c r="V119" s="86"/>
    </row>
    <row r="120" spans="1:22" ht="15.75">
      <c r="A120" s="23"/>
      <c r="B120" s="9"/>
      <c r="C120" s="9"/>
      <c r="D120" s="24"/>
      <c r="E120" s="25"/>
      <c r="F120" s="23"/>
      <c r="G120" s="23"/>
      <c r="H120" s="9"/>
      <c r="I120" s="9"/>
      <c r="J120" s="9"/>
      <c r="K120" s="9"/>
      <c r="L120" s="10"/>
      <c r="M120" s="10"/>
      <c r="N120" s="10"/>
      <c r="O120" s="10"/>
      <c r="P120" s="10"/>
      <c r="Q120" s="10"/>
      <c r="R120" s="10"/>
      <c r="S120" s="10"/>
      <c r="T120" s="86"/>
      <c r="U120" s="86"/>
      <c r="V120" s="86"/>
    </row>
    <row r="121" spans="1:22" ht="15.75">
      <c r="A121" s="23"/>
      <c r="B121" s="9"/>
      <c r="C121" s="9"/>
      <c r="D121" s="24"/>
      <c r="E121" s="25"/>
      <c r="F121" s="23"/>
      <c r="G121" s="23"/>
      <c r="H121" s="9"/>
      <c r="I121" s="9"/>
      <c r="J121" s="9"/>
      <c r="K121" s="9"/>
      <c r="L121" s="10"/>
      <c r="M121" s="10"/>
      <c r="N121" s="10"/>
      <c r="O121" s="10"/>
      <c r="P121" s="10"/>
      <c r="Q121" s="10"/>
      <c r="R121" s="10"/>
      <c r="S121" s="10"/>
      <c r="T121" s="86"/>
      <c r="U121" s="86"/>
      <c r="V121" s="86"/>
    </row>
    <row r="122" spans="1:22" ht="15.75">
      <c r="A122" s="23"/>
      <c r="B122" s="9"/>
      <c r="C122" s="9"/>
      <c r="D122" s="24"/>
      <c r="E122" s="25"/>
      <c r="F122" s="23"/>
      <c r="G122" s="23"/>
      <c r="H122" s="9"/>
      <c r="I122" s="9"/>
      <c r="J122" s="9"/>
      <c r="K122" s="9"/>
      <c r="L122" s="10"/>
      <c r="M122" s="10"/>
      <c r="N122" s="10"/>
      <c r="O122" s="10"/>
      <c r="P122" s="10"/>
      <c r="Q122" s="10"/>
      <c r="R122" s="10"/>
      <c r="S122" s="10"/>
      <c r="T122" s="86"/>
      <c r="U122" s="86"/>
      <c r="V122" s="86"/>
    </row>
    <row r="123" spans="1:22" ht="15.75">
      <c r="A123" s="23"/>
      <c r="B123" s="9"/>
      <c r="C123" s="9"/>
      <c r="D123" s="24"/>
      <c r="E123" s="25"/>
      <c r="F123" s="23"/>
      <c r="G123" s="23"/>
      <c r="H123" s="9"/>
      <c r="I123" s="9"/>
      <c r="J123" s="9"/>
      <c r="K123" s="9"/>
      <c r="L123" s="10"/>
      <c r="M123" s="10"/>
      <c r="N123" s="10"/>
      <c r="O123" s="10"/>
      <c r="P123" s="10"/>
      <c r="Q123" s="10"/>
      <c r="R123" s="10"/>
      <c r="S123" s="10"/>
      <c r="T123" s="86"/>
      <c r="U123" s="86"/>
      <c r="V123" s="86"/>
    </row>
    <row r="124" spans="1:22" ht="15.75">
      <c r="A124" s="23"/>
      <c r="B124" s="9"/>
      <c r="C124" s="9"/>
      <c r="D124" s="24"/>
      <c r="E124" s="25"/>
      <c r="F124" s="23"/>
      <c r="G124" s="23"/>
      <c r="H124" s="9"/>
      <c r="I124" s="9"/>
      <c r="J124" s="9"/>
      <c r="K124" s="9"/>
      <c r="L124" s="10"/>
      <c r="M124" s="10"/>
      <c r="N124" s="10"/>
      <c r="O124" s="10"/>
      <c r="P124" s="10"/>
      <c r="Q124" s="10"/>
      <c r="R124" s="10"/>
      <c r="S124" s="10"/>
      <c r="T124" s="86"/>
      <c r="U124" s="86"/>
      <c r="V124" s="86"/>
    </row>
    <row r="125" spans="1:22" ht="15.75">
      <c r="A125" s="23"/>
      <c r="B125" s="9"/>
      <c r="C125" s="9"/>
      <c r="D125" s="24"/>
      <c r="E125" s="25"/>
      <c r="F125" s="23"/>
      <c r="G125" s="23"/>
      <c r="H125" s="9"/>
      <c r="I125" s="9"/>
      <c r="J125" s="9"/>
      <c r="K125" s="9"/>
      <c r="L125" s="10"/>
      <c r="M125" s="10"/>
      <c r="N125" s="10"/>
      <c r="O125" s="10"/>
      <c r="P125" s="10"/>
      <c r="Q125" s="10"/>
      <c r="R125" s="10"/>
      <c r="S125" s="10"/>
      <c r="T125" s="86"/>
      <c r="U125" s="86"/>
      <c r="V125" s="86"/>
    </row>
    <row r="126" spans="1:22" ht="15.75">
      <c r="A126" s="23"/>
      <c r="B126" s="9"/>
      <c r="C126" s="9"/>
      <c r="D126" s="24"/>
      <c r="E126" s="25"/>
      <c r="F126" s="23"/>
      <c r="G126" s="23"/>
      <c r="H126" s="9"/>
      <c r="I126" s="9"/>
      <c r="J126" s="9"/>
      <c r="K126" s="9"/>
      <c r="L126" s="10"/>
      <c r="M126" s="10"/>
      <c r="N126" s="10"/>
      <c r="O126" s="10"/>
      <c r="P126" s="10"/>
      <c r="Q126" s="10"/>
      <c r="R126" s="10"/>
      <c r="S126" s="10"/>
      <c r="T126" s="86"/>
      <c r="U126" s="86"/>
      <c r="V126" s="86"/>
    </row>
    <row r="127" spans="1:22" ht="15.75">
      <c r="A127" s="23"/>
      <c r="B127" s="9"/>
      <c r="C127" s="9"/>
      <c r="D127" s="24"/>
      <c r="E127" s="25"/>
      <c r="F127" s="23"/>
      <c r="G127" s="23"/>
      <c r="H127" s="9"/>
      <c r="I127" s="9"/>
      <c r="J127" s="9"/>
      <c r="K127" s="9"/>
      <c r="L127" s="10"/>
      <c r="M127" s="10"/>
      <c r="N127" s="10"/>
      <c r="O127" s="10"/>
      <c r="P127" s="10"/>
      <c r="Q127" s="10"/>
      <c r="R127" s="10"/>
      <c r="S127" s="10"/>
      <c r="T127" s="86"/>
      <c r="U127" s="86"/>
      <c r="V127" s="86"/>
    </row>
    <row r="128" spans="1:22" ht="15.75">
      <c r="A128" s="23"/>
      <c r="B128" s="9"/>
      <c r="C128" s="9"/>
      <c r="D128" s="24"/>
      <c r="E128" s="25"/>
      <c r="F128" s="23"/>
      <c r="G128" s="23"/>
      <c r="H128" s="9"/>
      <c r="I128" s="9"/>
      <c r="J128" s="9"/>
      <c r="K128" s="9"/>
      <c r="L128" s="10"/>
      <c r="M128" s="10"/>
      <c r="N128" s="10"/>
      <c r="O128" s="10"/>
      <c r="P128" s="10"/>
      <c r="Q128" s="10"/>
      <c r="R128" s="10"/>
      <c r="S128" s="10"/>
      <c r="T128" s="86"/>
      <c r="U128" s="86"/>
      <c r="V128" s="86"/>
    </row>
    <row r="129" spans="1:22" ht="15.75">
      <c r="A129" s="23"/>
      <c r="B129" s="9"/>
      <c r="C129" s="9"/>
      <c r="D129" s="24"/>
      <c r="E129" s="25"/>
      <c r="F129" s="23"/>
      <c r="G129" s="23"/>
      <c r="H129" s="9"/>
      <c r="I129" s="9"/>
      <c r="J129" s="9"/>
      <c r="K129" s="9"/>
      <c r="L129" s="10"/>
      <c r="M129" s="10"/>
      <c r="N129" s="10"/>
      <c r="O129" s="10"/>
      <c r="P129" s="10"/>
      <c r="Q129" s="10"/>
      <c r="R129" s="10"/>
      <c r="S129" s="10"/>
      <c r="T129" s="86"/>
      <c r="U129" s="86"/>
      <c r="V129" s="86"/>
    </row>
    <row r="130" spans="1:22" ht="15.75">
      <c r="A130" s="23"/>
      <c r="B130" s="9"/>
      <c r="C130" s="9"/>
      <c r="D130" s="24"/>
      <c r="E130" s="25"/>
      <c r="F130" s="23"/>
      <c r="G130" s="23"/>
      <c r="H130" s="9"/>
      <c r="I130" s="9"/>
      <c r="J130" s="9"/>
      <c r="K130" s="9"/>
      <c r="L130" s="10"/>
      <c r="M130" s="10"/>
      <c r="N130" s="10"/>
      <c r="O130" s="10"/>
      <c r="P130" s="10"/>
      <c r="Q130" s="10"/>
      <c r="R130" s="10"/>
      <c r="S130" s="10"/>
      <c r="T130" s="86"/>
      <c r="U130" s="86"/>
      <c r="V130" s="86"/>
    </row>
    <row r="131" spans="1:22" ht="15.75">
      <c r="A131" s="23"/>
      <c r="B131" s="9"/>
      <c r="C131" s="9"/>
      <c r="D131" s="24"/>
      <c r="E131" s="25"/>
      <c r="F131" s="23"/>
      <c r="G131" s="23"/>
      <c r="H131" s="9"/>
      <c r="I131" s="9"/>
      <c r="J131" s="9"/>
      <c r="K131" s="9"/>
      <c r="L131" s="10"/>
      <c r="M131" s="10"/>
      <c r="N131" s="10"/>
      <c r="O131" s="10"/>
      <c r="P131" s="10"/>
      <c r="Q131" s="10"/>
      <c r="R131" s="10"/>
      <c r="S131" s="10"/>
      <c r="T131" s="86"/>
      <c r="U131" s="86"/>
      <c r="V131" s="86"/>
    </row>
    <row r="132" spans="1:22" ht="15.75">
      <c r="A132" s="23"/>
      <c r="B132" s="9"/>
      <c r="C132" s="9"/>
      <c r="D132" s="24"/>
      <c r="E132" s="25"/>
      <c r="F132" s="23"/>
      <c r="G132" s="23"/>
      <c r="H132" s="9"/>
      <c r="I132" s="9"/>
      <c r="J132" s="9"/>
      <c r="K132" s="9"/>
      <c r="L132" s="10"/>
      <c r="M132" s="10"/>
      <c r="N132" s="10"/>
      <c r="O132" s="10"/>
      <c r="P132" s="10"/>
      <c r="Q132" s="10"/>
      <c r="R132" s="10"/>
      <c r="S132" s="10"/>
      <c r="T132" s="86"/>
      <c r="U132" s="86"/>
      <c r="V132" s="86"/>
    </row>
    <row r="133" spans="1:22" ht="15.75">
      <c r="A133" s="23"/>
      <c r="B133" s="9"/>
      <c r="C133" s="9"/>
      <c r="D133" s="24"/>
      <c r="E133" s="25"/>
      <c r="F133" s="23"/>
      <c r="G133" s="23"/>
      <c r="H133" s="9"/>
      <c r="I133" s="9"/>
      <c r="J133" s="9"/>
      <c r="K133" s="9"/>
      <c r="L133" s="10"/>
      <c r="M133" s="10"/>
      <c r="N133" s="10"/>
      <c r="O133" s="10"/>
      <c r="P133" s="10"/>
      <c r="Q133" s="10"/>
      <c r="R133" s="10"/>
      <c r="S133" s="10"/>
      <c r="T133" s="86"/>
      <c r="U133" s="86"/>
      <c r="V133" s="86"/>
    </row>
    <row r="134" spans="1:22" ht="15.75">
      <c r="A134" s="23"/>
      <c r="B134" s="9"/>
      <c r="C134" s="9"/>
      <c r="D134" s="24"/>
      <c r="E134" s="25"/>
      <c r="F134" s="23"/>
      <c r="G134" s="23"/>
      <c r="H134" s="9"/>
      <c r="I134" s="9"/>
      <c r="J134" s="9"/>
      <c r="K134" s="9"/>
      <c r="L134" s="10"/>
      <c r="M134" s="10"/>
      <c r="N134" s="10"/>
      <c r="O134" s="10"/>
      <c r="P134" s="10"/>
      <c r="Q134" s="10"/>
      <c r="R134" s="10"/>
      <c r="S134" s="10"/>
      <c r="T134" s="86"/>
      <c r="U134" s="86"/>
      <c r="V134" s="86"/>
    </row>
    <row r="135" spans="1:22" ht="15.75">
      <c r="A135" s="23"/>
      <c r="B135" s="9"/>
      <c r="C135" s="9"/>
      <c r="D135" s="24"/>
      <c r="E135" s="25"/>
      <c r="F135" s="23"/>
      <c r="G135" s="23"/>
      <c r="H135" s="9"/>
      <c r="I135" s="9"/>
      <c r="J135" s="9"/>
      <c r="K135" s="9"/>
      <c r="L135" s="10"/>
      <c r="M135" s="10"/>
      <c r="N135" s="10"/>
      <c r="O135" s="10"/>
      <c r="P135" s="10"/>
      <c r="Q135" s="10"/>
      <c r="R135" s="10"/>
      <c r="S135" s="10"/>
      <c r="T135" s="86"/>
      <c r="U135" s="86"/>
      <c r="V135" s="86"/>
    </row>
    <row r="136" spans="1:22" ht="15.75">
      <c r="A136" s="23"/>
      <c r="B136" s="9"/>
      <c r="C136" s="9"/>
      <c r="D136" s="24"/>
      <c r="E136" s="25"/>
      <c r="F136" s="23"/>
      <c r="G136" s="23"/>
      <c r="H136" s="9"/>
      <c r="I136" s="9"/>
      <c r="J136" s="9"/>
      <c r="K136" s="9"/>
      <c r="L136" s="10"/>
      <c r="M136" s="10"/>
      <c r="N136" s="10"/>
      <c r="O136" s="10"/>
      <c r="P136" s="10"/>
      <c r="Q136" s="10"/>
      <c r="R136" s="10"/>
      <c r="S136" s="10"/>
      <c r="T136" s="86"/>
      <c r="U136" s="86"/>
      <c r="V136" s="86"/>
    </row>
    <row r="137" spans="1:22" ht="15.75">
      <c r="A137" s="23"/>
      <c r="B137" s="9"/>
      <c r="C137" s="9"/>
      <c r="D137" s="24"/>
      <c r="E137" s="25"/>
      <c r="F137" s="23"/>
      <c r="G137" s="23"/>
      <c r="H137" s="9"/>
      <c r="I137" s="9"/>
      <c r="J137" s="9"/>
      <c r="K137" s="9"/>
      <c r="L137" s="10"/>
      <c r="M137" s="10"/>
      <c r="N137" s="10"/>
      <c r="O137" s="10"/>
      <c r="P137" s="10"/>
      <c r="Q137" s="10"/>
      <c r="R137" s="10"/>
      <c r="S137" s="10"/>
      <c r="T137" s="86"/>
      <c r="U137" s="86"/>
      <c r="V137" s="86"/>
    </row>
    <row r="138" spans="1:22" ht="15.75">
      <c r="A138" s="23"/>
      <c r="B138" s="9"/>
      <c r="C138" s="9"/>
      <c r="D138" s="24"/>
      <c r="E138" s="25"/>
      <c r="F138" s="23"/>
      <c r="G138" s="23"/>
      <c r="H138" s="9"/>
      <c r="I138" s="9"/>
      <c r="J138" s="9"/>
      <c r="K138" s="9"/>
      <c r="L138" s="10"/>
      <c r="M138" s="10"/>
      <c r="N138" s="10"/>
      <c r="O138" s="10"/>
      <c r="P138" s="10"/>
      <c r="Q138" s="10"/>
      <c r="R138" s="10"/>
      <c r="S138" s="10"/>
      <c r="T138" s="86"/>
      <c r="U138" s="86"/>
      <c r="V138" s="86"/>
    </row>
    <row r="139" spans="1:22" ht="15.75">
      <c r="A139" s="23"/>
      <c r="B139" s="9"/>
      <c r="C139" s="9"/>
      <c r="D139" s="24"/>
      <c r="E139" s="25"/>
      <c r="F139" s="23"/>
      <c r="G139" s="23"/>
      <c r="H139" s="9"/>
      <c r="I139" s="9"/>
      <c r="J139" s="9"/>
      <c r="K139" s="9"/>
      <c r="L139" s="10"/>
      <c r="M139" s="10"/>
      <c r="N139" s="10"/>
      <c r="O139" s="10"/>
      <c r="P139" s="10"/>
      <c r="Q139" s="10"/>
      <c r="R139" s="10"/>
      <c r="S139" s="10"/>
      <c r="T139" s="86"/>
      <c r="U139" s="86"/>
      <c r="V139" s="86"/>
    </row>
    <row r="140" spans="1:22" ht="15.75">
      <c r="A140" s="23"/>
      <c r="B140" s="9"/>
      <c r="C140" s="9"/>
      <c r="D140" s="24"/>
      <c r="E140" s="25"/>
      <c r="F140" s="23"/>
      <c r="G140" s="23"/>
      <c r="H140" s="9"/>
      <c r="I140" s="9"/>
      <c r="J140" s="9"/>
      <c r="K140" s="9"/>
      <c r="L140" s="10"/>
      <c r="M140" s="10"/>
      <c r="N140" s="10"/>
      <c r="O140" s="10"/>
      <c r="P140" s="10"/>
      <c r="Q140" s="10"/>
      <c r="R140" s="10"/>
      <c r="S140" s="10"/>
      <c r="T140" s="86"/>
      <c r="U140" s="86"/>
      <c r="V140" s="86"/>
    </row>
    <row r="141" spans="1:22" ht="15.75">
      <c r="A141" s="23"/>
      <c r="B141" s="9"/>
      <c r="C141" s="9"/>
      <c r="D141" s="24"/>
      <c r="E141" s="25"/>
      <c r="F141" s="23"/>
      <c r="G141" s="23"/>
      <c r="H141" s="9"/>
      <c r="I141" s="9"/>
      <c r="J141" s="9"/>
      <c r="K141" s="9"/>
      <c r="L141" s="10"/>
      <c r="M141" s="10"/>
      <c r="N141" s="10"/>
      <c r="O141" s="10"/>
      <c r="P141" s="10"/>
      <c r="Q141" s="10"/>
      <c r="R141" s="10"/>
      <c r="S141" s="10"/>
      <c r="T141" s="86"/>
      <c r="U141" s="86"/>
      <c r="V141" s="86"/>
    </row>
    <row r="142" spans="1:22" ht="15.75">
      <c r="A142" s="23"/>
      <c r="B142" s="9"/>
      <c r="C142" s="9"/>
      <c r="D142" s="24"/>
      <c r="E142" s="25"/>
      <c r="F142" s="23"/>
      <c r="G142" s="23"/>
      <c r="H142" s="9"/>
      <c r="I142" s="9"/>
      <c r="J142" s="9"/>
      <c r="K142" s="9"/>
      <c r="L142" s="10"/>
      <c r="M142" s="10"/>
      <c r="N142" s="10"/>
      <c r="O142" s="10"/>
      <c r="P142" s="10"/>
      <c r="Q142" s="10"/>
      <c r="R142" s="10"/>
      <c r="S142" s="10"/>
      <c r="T142" s="86"/>
      <c r="U142" s="86"/>
      <c r="V142" s="86"/>
    </row>
    <row r="143" spans="1:22" ht="15.75">
      <c r="A143" s="23"/>
      <c r="B143" s="9"/>
      <c r="C143" s="9"/>
      <c r="D143" s="24"/>
      <c r="E143" s="25"/>
      <c r="F143" s="23"/>
      <c r="G143" s="23"/>
      <c r="H143" s="9"/>
      <c r="I143" s="9"/>
      <c r="J143" s="9"/>
      <c r="K143" s="9"/>
      <c r="L143" s="10"/>
      <c r="M143" s="10"/>
      <c r="N143" s="10"/>
      <c r="O143" s="10"/>
      <c r="P143" s="10"/>
      <c r="Q143" s="10"/>
      <c r="R143" s="10"/>
      <c r="S143" s="10"/>
      <c r="T143" s="86"/>
      <c r="U143" s="86"/>
      <c r="V143" s="86"/>
    </row>
    <row r="144" spans="1:22" ht="15.75">
      <c r="A144" s="23"/>
      <c r="B144" s="9"/>
      <c r="C144" s="9"/>
      <c r="D144" s="24"/>
      <c r="E144" s="25"/>
      <c r="F144" s="23"/>
      <c r="G144" s="23"/>
      <c r="H144" s="9"/>
      <c r="I144" s="9"/>
      <c r="J144" s="9"/>
      <c r="K144" s="9"/>
      <c r="L144" s="10"/>
      <c r="M144" s="10"/>
      <c r="N144" s="10"/>
      <c r="O144" s="10"/>
      <c r="P144" s="10"/>
      <c r="Q144" s="10"/>
      <c r="R144" s="10"/>
      <c r="S144" s="10"/>
      <c r="T144" s="86"/>
      <c r="U144" s="86"/>
      <c r="V144" s="86"/>
    </row>
    <row r="145" spans="1:22" ht="15.75">
      <c r="A145" s="23"/>
      <c r="B145" s="9"/>
      <c r="C145" s="9"/>
      <c r="D145" s="24"/>
      <c r="E145" s="25"/>
      <c r="F145" s="23"/>
      <c r="G145" s="23"/>
      <c r="H145" s="9"/>
      <c r="I145" s="9"/>
      <c r="J145" s="9"/>
      <c r="K145" s="9"/>
      <c r="L145" s="10"/>
      <c r="M145" s="10"/>
      <c r="N145" s="10"/>
      <c r="O145" s="10"/>
      <c r="P145" s="10"/>
      <c r="Q145" s="10"/>
      <c r="R145" s="10"/>
      <c r="S145" s="10"/>
      <c r="T145" s="86"/>
      <c r="U145" s="86"/>
      <c r="V145" s="86"/>
    </row>
    <row r="146" spans="1:22" ht="15.75">
      <c r="A146" s="23"/>
      <c r="B146" s="9"/>
      <c r="C146" s="9"/>
      <c r="D146" s="24"/>
      <c r="E146" s="25"/>
      <c r="F146" s="23"/>
      <c r="G146" s="23"/>
      <c r="H146" s="9"/>
      <c r="I146" s="9"/>
      <c r="J146" s="9"/>
      <c r="K146" s="9"/>
      <c r="L146" s="10"/>
      <c r="M146" s="10"/>
      <c r="N146" s="10"/>
      <c r="O146" s="10"/>
      <c r="P146" s="10"/>
      <c r="Q146" s="10"/>
      <c r="R146" s="10"/>
      <c r="S146" s="10"/>
      <c r="T146" s="86"/>
      <c r="U146" s="86"/>
      <c r="V146" s="86"/>
    </row>
    <row r="147" spans="1:22" ht="15.75">
      <c r="A147" s="23"/>
      <c r="B147" s="9"/>
      <c r="C147" s="9"/>
      <c r="D147" s="24"/>
      <c r="E147" s="25"/>
      <c r="F147" s="23"/>
      <c r="G147" s="23"/>
      <c r="H147" s="9"/>
      <c r="I147" s="9"/>
      <c r="J147" s="9"/>
      <c r="K147" s="9"/>
      <c r="L147" s="10"/>
      <c r="M147" s="10"/>
      <c r="N147" s="10"/>
      <c r="O147" s="10"/>
      <c r="P147" s="10"/>
      <c r="Q147" s="10"/>
      <c r="R147" s="10"/>
      <c r="S147" s="10"/>
      <c r="T147" s="86"/>
      <c r="U147" s="86"/>
      <c r="V147" s="86"/>
    </row>
    <row r="148" spans="1:22" ht="15.75">
      <c r="A148" s="23"/>
      <c r="B148" s="9"/>
      <c r="C148" s="9"/>
      <c r="D148" s="24"/>
      <c r="E148" s="25"/>
      <c r="F148" s="23"/>
      <c r="G148" s="23"/>
      <c r="H148" s="9"/>
      <c r="I148" s="9"/>
      <c r="J148" s="9"/>
      <c r="K148" s="9"/>
      <c r="L148" s="10"/>
      <c r="M148" s="10"/>
      <c r="N148" s="10"/>
      <c r="O148" s="10"/>
      <c r="P148" s="10"/>
      <c r="Q148" s="10"/>
      <c r="R148" s="10"/>
      <c r="S148" s="10"/>
      <c r="T148" s="86"/>
      <c r="U148" s="86"/>
      <c r="V148" s="86"/>
    </row>
    <row r="149" spans="1:22" ht="15.75">
      <c r="A149" s="23"/>
      <c r="B149" s="9"/>
      <c r="C149" s="9"/>
      <c r="D149" s="24"/>
      <c r="E149" s="25"/>
      <c r="F149" s="23"/>
      <c r="G149" s="23"/>
      <c r="H149" s="9"/>
      <c r="I149" s="9"/>
      <c r="J149" s="9"/>
      <c r="K149" s="9"/>
      <c r="L149" s="10"/>
      <c r="M149" s="10"/>
      <c r="N149" s="10"/>
      <c r="O149" s="10"/>
      <c r="P149" s="10"/>
      <c r="Q149" s="10"/>
      <c r="R149" s="10"/>
      <c r="S149" s="10"/>
      <c r="T149" s="86"/>
      <c r="U149" s="86"/>
      <c r="V149" s="86"/>
    </row>
    <row r="150" spans="1:22" ht="15.75">
      <c r="A150" s="23"/>
      <c r="B150" s="9"/>
      <c r="C150" s="9"/>
      <c r="D150" s="24"/>
      <c r="E150" s="25"/>
      <c r="F150" s="23"/>
      <c r="G150" s="23"/>
      <c r="H150" s="9"/>
      <c r="I150" s="9"/>
      <c r="J150" s="9"/>
      <c r="K150" s="9"/>
      <c r="L150" s="10"/>
      <c r="M150" s="10"/>
      <c r="N150" s="10"/>
      <c r="O150" s="10"/>
      <c r="P150" s="10"/>
      <c r="Q150" s="10"/>
      <c r="R150" s="10"/>
      <c r="S150" s="10"/>
      <c r="T150" s="86"/>
      <c r="U150" s="86"/>
      <c r="V150" s="86"/>
    </row>
    <row r="151" spans="1:22" ht="15.75">
      <c r="A151" s="23"/>
      <c r="B151" s="9"/>
      <c r="C151" s="9"/>
      <c r="D151" s="24"/>
      <c r="E151" s="25"/>
      <c r="F151" s="23"/>
      <c r="G151" s="23"/>
      <c r="H151" s="9"/>
      <c r="I151" s="9"/>
      <c r="J151" s="9"/>
      <c r="K151" s="9"/>
      <c r="L151" s="10"/>
      <c r="M151" s="10"/>
      <c r="N151" s="10"/>
      <c r="O151" s="10"/>
      <c r="P151" s="10"/>
      <c r="Q151" s="10"/>
      <c r="R151" s="10"/>
      <c r="S151" s="10"/>
      <c r="T151" s="86"/>
      <c r="U151" s="86"/>
      <c r="V151" s="86"/>
    </row>
    <row r="152" spans="1:22" ht="15.75">
      <c r="A152" s="23"/>
      <c r="B152" s="9"/>
      <c r="C152" s="9"/>
      <c r="D152" s="24"/>
      <c r="E152" s="25"/>
      <c r="F152" s="23"/>
      <c r="G152" s="23"/>
      <c r="H152" s="9"/>
      <c r="I152" s="9"/>
      <c r="J152" s="9"/>
      <c r="K152" s="9"/>
      <c r="L152" s="10"/>
      <c r="M152" s="10"/>
      <c r="N152" s="10"/>
      <c r="O152" s="10"/>
      <c r="P152" s="10"/>
      <c r="Q152" s="10"/>
      <c r="R152" s="10"/>
      <c r="S152" s="10"/>
      <c r="T152" s="86"/>
      <c r="U152" s="86"/>
      <c r="V152" s="86"/>
    </row>
  </sheetData>
  <sheetProtection/>
  <mergeCells count="5">
    <mergeCell ref="A8:B8"/>
    <mergeCell ref="A9:B9"/>
    <mergeCell ref="A56:B56"/>
    <mergeCell ref="M58:N58"/>
    <mergeCell ref="C1:O1"/>
  </mergeCells>
  <printOptions/>
  <pageMargins left="0" right="0" top="0" bottom="0" header="0.31496062992125984" footer="0.31496062992125984"/>
  <pageSetup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2013-06-07T10:05:55Z</dcterms:modified>
  <cp:category/>
  <cp:version/>
  <cp:contentType/>
  <cp:contentStatus/>
</cp:coreProperties>
</file>