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Titles" localSheetId="0">'Лист1'!$A:$B,'Лист1'!$3:$3</definedName>
    <definedName name="_xlnm.Print_Area" localSheetId="0">'Лист1'!$A$1:$S$57</definedName>
  </definedNames>
  <calcPr fullCalcOnLoad="1"/>
</workbook>
</file>

<file path=xl/sharedStrings.xml><?xml version="1.0" encoding="utf-8"?>
<sst xmlns="http://schemas.openxmlformats.org/spreadsheetml/2006/main" count="72" uniqueCount="72">
  <si>
    <t>№
 п.п.</t>
  </si>
  <si>
    <t>Образовательное
 учреждение</t>
  </si>
  <si>
    <t>Савостьяновская</t>
  </si>
  <si>
    <t>Школа-детсад № 1</t>
  </si>
  <si>
    <t>Итого нач.шк.</t>
  </si>
  <si>
    <t>Основные школы сел.</t>
  </si>
  <si>
    <t>Абрамовская</t>
  </si>
  <si>
    <t>Анциферовская</t>
  </si>
  <si>
    <t>Войново-Горская</t>
  </si>
  <si>
    <t>Горская</t>
  </si>
  <si>
    <t>Заволенская</t>
  </si>
  <si>
    <t>Мисцевская № 1</t>
  </si>
  <si>
    <t>Мисцевская № 2</t>
  </si>
  <si>
    <t>Ново-Снопковская</t>
  </si>
  <si>
    <t>Юркинская</t>
  </si>
  <si>
    <t>Итого основн.шк.сельск.</t>
  </si>
  <si>
    <t>Средние школы сельск.</t>
  </si>
  <si>
    <t>Авсюнинская</t>
  </si>
  <si>
    <t>Верейская</t>
  </si>
  <si>
    <t>Губинская</t>
  </si>
  <si>
    <t>Запутновская</t>
  </si>
  <si>
    <t>Ильинская</t>
  </si>
  <si>
    <t>Кабановская</t>
  </si>
  <si>
    <t>Малодубенская</t>
  </si>
  <si>
    <t>Новинская</t>
  </si>
  <si>
    <t>Озерецкая</t>
  </si>
  <si>
    <t>Соболевская</t>
  </si>
  <si>
    <t>Давыдовская гимназия</t>
  </si>
  <si>
    <t>Давыдовский лицей</t>
  </si>
  <si>
    <t>Демиховская</t>
  </si>
  <si>
    <t>Щетиновская</t>
  </si>
  <si>
    <t>Итого средние школы сельск.</t>
  </si>
  <si>
    <t>ВСЕГО сельские</t>
  </si>
  <si>
    <t>Основные шк. городские</t>
  </si>
  <si>
    <t>Ликино-Дулевская № 2</t>
  </si>
  <si>
    <t>Ликино-Дулевская № 3</t>
  </si>
  <si>
    <t>Ликино-Дулевская № 4</t>
  </si>
  <si>
    <t>ЦППРиК</t>
  </si>
  <si>
    <t>Итого основн.шк. городск.</t>
  </si>
  <si>
    <t>Средние шк. городские</t>
  </si>
  <si>
    <t>Дрезненская № 1</t>
  </si>
  <si>
    <t>Дрезненская № 2(гимназия)</t>
  </si>
  <si>
    <t>Куровская № 1</t>
  </si>
  <si>
    <t>Куровская № 2</t>
  </si>
  <si>
    <t>Куровская № 6</t>
  </si>
  <si>
    <t>Куровская гимназия</t>
  </si>
  <si>
    <t>Ликино-Дулевская гимназ.</t>
  </si>
  <si>
    <t>Ликино-Дулевская лицей</t>
  </si>
  <si>
    <t>Ликино-Дулевкая № 5</t>
  </si>
  <si>
    <t>Итого средние шк. Городские</t>
  </si>
  <si>
    <t>ВСЕГО городские</t>
  </si>
  <si>
    <t>Ильинский интернат</t>
  </si>
  <si>
    <t>ВСЕГО школы</t>
  </si>
  <si>
    <t>ФОТ  ОУ (тыс.руб.)</t>
  </si>
  <si>
    <t>суммарное число работников ОУ
 (чел.)</t>
  </si>
  <si>
    <t>ФОТ (директор,заместители директора) (тыс.руб.)</t>
  </si>
  <si>
    <t>суммарное число работников (директор,заместители директора) (чел.)</t>
  </si>
  <si>
    <t>ФОТ учителей (высшая категория) (тыс.руб.)</t>
  </si>
  <si>
    <t>суммарное число учителей (высшая категория) (чел.)</t>
  </si>
  <si>
    <t>ФОТ учителей (первая категория) (тыс.руб.)</t>
  </si>
  <si>
    <t>суммарное число учителей (первая категория) (чел.)</t>
  </si>
  <si>
    <t>ФОТ учителей (без категории) (тыс.руб.)</t>
  </si>
  <si>
    <t>суммарное число учителей (без категории) (чел.)</t>
  </si>
  <si>
    <t>ФОТ (прочие пед.работники) (тыс.руб.)</t>
  </si>
  <si>
    <t>суммарное число (прочие пед.работники) (чел.)</t>
  </si>
  <si>
    <t>ФОТ (прочий обслуж.персонал) (тыс.руб.)</t>
  </si>
  <si>
    <t>суммарное число (прочий обслуж.персонал) (чел.)</t>
  </si>
  <si>
    <t>объем стимул.выплат работникам ОУ (тыс.руб.)</t>
  </si>
  <si>
    <t>ФОТ учителей Всего без совместителей</t>
  </si>
  <si>
    <t>Общая численность учителей без совместителей</t>
  </si>
  <si>
    <t xml:space="preserve"> Орехово-Зуевский район информация для заполнения мониторинга за  июнь  2012 года   (в тыс.руб)
(Информация дана без дошкольных отделений)</t>
  </si>
  <si>
    <t>дата: 09.07.2012 (исполнитель: Киркиж Л.И. 4 161-830)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</si>
</sst>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2" fillId="19" borderId="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" fontId="5" fillId="0" borderId="13" xfId="0" applyNumberFormat="1" applyFont="1" applyFill="1" applyBorder="1" applyAlignment="1">
      <alignment/>
    </xf>
    <xf numFmtId="0" fontId="7" fillId="34" borderId="12" xfId="0" applyFont="1" applyFill="1" applyBorder="1" applyAlignment="1">
      <alignment/>
    </xf>
    <xf numFmtId="164" fontId="5" fillId="34" borderId="13" xfId="0" applyNumberFormat="1" applyFont="1" applyFill="1" applyBorder="1" applyAlignment="1">
      <alignment/>
    </xf>
    <xf numFmtId="1" fontId="0" fillId="34" borderId="13" xfId="0" applyNumberFormat="1" applyFont="1" applyFill="1" applyBorder="1" applyAlignment="1">
      <alignment/>
    </xf>
    <xf numFmtId="1" fontId="5" fillId="34" borderId="13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19" borderId="12" xfId="0" applyFont="1" applyFill="1" applyBorder="1" applyAlignment="1">
      <alignment/>
    </xf>
    <xf numFmtId="0" fontId="5" fillId="19" borderId="13" xfId="0" applyFont="1" applyFill="1" applyBorder="1" applyAlignment="1">
      <alignment/>
    </xf>
    <xf numFmtId="164" fontId="5" fillId="19" borderId="13" xfId="0" applyNumberFormat="1" applyFont="1" applyFill="1" applyBorder="1" applyAlignment="1">
      <alignment/>
    </xf>
    <xf numFmtId="1" fontId="0" fillId="19" borderId="13" xfId="0" applyNumberFormat="1" applyFont="1" applyFill="1" applyBorder="1" applyAlignment="1">
      <alignment/>
    </xf>
    <xf numFmtId="1" fontId="5" fillId="19" borderId="13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" fontId="5" fillId="0" borderId="15" xfId="0" applyNumberFormat="1" applyFont="1" applyFill="1" applyBorder="1" applyAlignment="1">
      <alignment/>
    </xf>
    <xf numFmtId="164" fontId="6" fillId="0" borderId="16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64" fontId="6" fillId="0" borderId="16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164" fontId="5" fillId="34" borderId="15" xfId="0" applyNumberFormat="1" applyFont="1" applyFill="1" applyBorder="1" applyAlignment="1">
      <alignment/>
    </xf>
    <xf numFmtId="1" fontId="0" fillId="34" borderId="15" xfId="0" applyNumberFormat="1" applyFont="1" applyFill="1" applyBorder="1" applyAlignment="1">
      <alignment/>
    </xf>
    <xf numFmtId="1" fontId="5" fillId="34" borderId="15" xfId="0" applyNumberFormat="1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164" fontId="5" fillId="33" borderId="21" xfId="0" applyNumberFormat="1" applyFont="1" applyFill="1" applyBorder="1" applyAlignment="1">
      <alignment/>
    </xf>
    <xf numFmtId="1" fontId="5" fillId="33" borderId="21" xfId="0" applyNumberFormat="1" applyFont="1" applyFill="1" applyBorder="1" applyAlignment="1">
      <alignment/>
    </xf>
    <xf numFmtId="0" fontId="5" fillId="0" borderId="22" xfId="0" applyFont="1" applyBorder="1" applyAlignment="1">
      <alignment horizontal="center"/>
    </xf>
    <xf numFmtId="1" fontId="4" fillId="0" borderId="23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164" fontId="42" fillId="0" borderId="0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164" fontId="42" fillId="7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/>
    </xf>
    <xf numFmtId="164" fontId="43" fillId="7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64" fontId="5" fillId="0" borderId="24" xfId="0" applyNumberFormat="1" applyFont="1" applyFill="1" applyBorder="1" applyAlignment="1">
      <alignment/>
    </xf>
    <xf numFmtId="164" fontId="5" fillId="0" borderId="25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164" fontId="5" fillId="34" borderId="24" xfId="0" applyNumberFormat="1" applyFont="1" applyFill="1" applyBorder="1" applyAlignment="1">
      <alignment/>
    </xf>
    <xf numFmtId="164" fontId="5" fillId="19" borderId="24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164" fontId="5" fillId="34" borderId="25" xfId="0" applyNumberFormat="1" applyFont="1" applyFill="1" applyBorder="1" applyAlignment="1">
      <alignment/>
    </xf>
    <xf numFmtId="164" fontId="5" fillId="33" borderId="28" xfId="0" applyNumberFormat="1" applyFont="1" applyFill="1" applyBorder="1" applyAlignment="1">
      <alignment/>
    </xf>
    <xf numFmtId="0" fontId="4" fillId="2" borderId="29" xfId="0" applyFont="1" applyFill="1" applyBorder="1" applyAlignment="1">
      <alignment horizontal="center" wrapText="1"/>
    </xf>
    <xf numFmtId="1" fontId="5" fillId="0" borderId="22" xfId="0" applyNumberFormat="1" applyFont="1" applyFill="1" applyBorder="1" applyAlignment="1">
      <alignment/>
    </xf>
    <xf numFmtId="1" fontId="5" fillId="0" borderId="3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1" fontId="5" fillId="34" borderId="22" xfId="0" applyNumberFormat="1" applyFont="1" applyFill="1" applyBorder="1" applyAlignment="1">
      <alignment/>
    </xf>
    <xf numFmtId="1" fontId="5" fillId="19" borderId="22" xfId="0" applyNumberFormat="1" applyFont="1" applyFill="1" applyBorder="1" applyAlignment="1">
      <alignment/>
    </xf>
    <xf numFmtId="1" fontId="5" fillId="34" borderId="30" xfId="0" applyNumberFormat="1" applyFont="1" applyFill="1" applyBorder="1" applyAlignment="1">
      <alignment/>
    </xf>
    <xf numFmtId="1" fontId="5" fillId="33" borderId="32" xfId="0" applyNumberFormat="1" applyFont="1" applyFill="1" applyBorder="1" applyAlignment="1">
      <alignment/>
    </xf>
    <xf numFmtId="0" fontId="5" fillId="0" borderId="33" xfId="0" applyFont="1" applyBorder="1" applyAlignment="1">
      <alignment horizontal="center"/>
    </xf>
    <xf numFmtId="164" fontId="5" fillId="0" borderId="33" xfId="0" applyNumberFormat="1" applyFont="1" applyFill="1" applyBorder="1" applyAlignment="1">
      <alignment/>
    </xf>
    <xf numFmtId="164" fontId="5" fillId="0" borderId="34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/>
    </xf>
    <xf numFmtId="164" fontId="0" fillId="0" borderId="36" xfId="0" applyNumberFormat="1" applyFont="1" applyFill="1" applyBorder="1" applyAlignment="1">
      <alignment/>
    </xf>
    <xf numFmtId="164" fontId="5" fillId="34" borderId="33" xfId="0" applyNumberFormat="1" applyFont="1" applyFill="1" applyBorder="1" applyAlignment="1">
      <alignment/>
    </xf>
    <xf numFmtId="164" fontId="5" fillId="19" borderId="33" xfId="0" applyNumberFormat="1" applyFont="1" applyFill="1" applyBorder="1" applyAlignment="1">
      <alignment/>
    </xf>
    <xf numFmtId="164" fontId="5" fillId="34" borderId="34" xfId="0" applyNumberFormat="1" applyFont="1" applyFill="1" applyBorder="1" applyAlignment="1">
      <alignment/>
    </xf>
    <xf numFmtId="164" fontId="4" fillId="0" borderId="35" xfId="0" applyNumberFormat="1" applyFont="1" applyFill="1" applyBorder="1" applyAlignment="1">
      <alignment/>
    </xf>
    <xf numFmtId="164" fontId="5" fillId="33" borderId="37" xfId="0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right"/>
    </xf>
    <xf numFmtId="0" fontId="0" fillId="34" borderId="24" xfId="0" applyFont="1" applyFill="1" applyBorder="1" applyAlignment="1">
      <alignment horizontal="center"/>
    </xf>
    <xf numFmtId="0" fontId="0" fillId="19" borderId="12" xfId="0" applyFont="1" applyFill="1" applyBorder="1" applyAlignment="1">
      <alignment horizontal="right"/>
    </xf>
    <xf numFmtId="0" fontId="0" fillId="19" borderId="2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right"/>
    </xf>
    <xf numFmtId="0" fontId="0" fillId="34" borderId="25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4" fillId="36" borderId="11" xfId="0" applyFont="1" applyFill="1" applyBorder="1" applyAlignment="1">
      <alignment horizontal="center" wrapText="1"/>
    </xf>
    <xf numFmtId="1" fontId="4" fillId="36" borderId="11" xfId="0" applyNumberFormat="1" applyFont="1" applyFill="1" applyBorder="1" applyAlignment="1">
      <alignment horizontal="center" vertical="center" wrapText="1"/>
    </xf>
    <xf numFmtId="164" fontId="4" fillId="36" borderId="11" xfId="0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4" fillId="36" borderId="38" xfId="0" applyFont="1" applyFill="1" applyBorder="1" applyAlignment="1">
      <alignment horizontal="center" wrapText="1"/>
    </xf>
    <xf numFmtId="0" fontId="4" fillId="36" borderId="39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/>
    </xf>
    <xf numFmtId="164" fontId="0" fillId="0" borderId="14" xfId="0" applyNumberFormat="1" applyFont="1" applyFill="1" applyBorder="1" applyAlignment="1">
      <alignment horizontal="right"/>
    </xf>
    <xf numFmtId="0" fontId="5" fillId="36" borderId="15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1" fontId="9" fillId="0" borderId="13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 horizontal="right"/>
    </xf>
    <xf numFmtId="164" fontId="0" fillId="34" borderId="12" xfId="0" applyNumberFormat="1" applyFont="1" applyFill="1" applyBorder="1" applyAlignment="1">
      <alignment horizontal="right"/>
    </xf>
    <xf numFmtId="164" fontId="0" fillId="19" borderId="12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64" fontId="5" fillId="33" borderId="13" xfId="0" applyNumberFormat="1" applyFont="1" applyFill="1" applyBorder="1" applyAlignment="1">
      <alignment/>
    </xf>
    <xf numFmtId="1" fontId="0" fillId="33" borderId="13" xfId="0" applyNumberFormat="1" applyFont="1" applyFill="1" applyBorder="1" applyAlignment="1">
      <alignment/>
    </xf>
    <xf numFmtId="1" fontId="5" fillId="33" borderId="13" xfId="0" applyNumberFormat="1" applyFont="1" applyFill="1" applyBorder="1" applyAlignment="1">
      <alignment/>
    </xf>
    <xf numFmtId="1" fontId="5" fillId="33" borderId="22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24" xfId="0" applyFont="1" applyFill="1" applyBorder="1" applyAlignment="1">
      <alignment horizontal="center"/>
    </xf>
    <xf numFmtId="164" fontId="5" fillId="33" borderId="33" xfId="0" applyNumberFormat="1" applyFont="1" applyFill="1" applyBorder="1" applyAlignment="1">
      <alignment/>
    </xf>
    <xf numFmtId="164" fontId="5" fillId="33" borderId="24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64" fontId="42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1"/>
  <sheetViews>
    <sheetView tabSelected="1" zoomScale="80" zoomScaleNormal="80" zoomScaleSheetLayoutView="65" zoomScalePageLayoutView="0" workbookViewId="0" topLeftCell="A34">
      <selection activeCell="E61" sqref="E61"/>
    </sheetView>
  </sheetViews>
  <sheetFormatPr defaultColWidth="9.140625" defaultRowHeight="15"/>
  <cols>
    <col min="1" max="1" width="3.8515625" style="6" customWidth="1"/>
    <col min="2" max="2" width="31.7109375" style="4" customWidth="1"/>
    <col min="3" max="3" width="15.140625" style="4" customWidth="1"/>
    <col min="4" max="4" width="15.57421875" style="2" customWidth="1"/>
    <col min="5" max="5" width="17.140625" style="1" customWidth="1"/>
    <col min="6" max="6" width="16.8515625" style="6" customWidth="1"/>
    <col min="7" max="7" width="16.140625" style="6" customWidth="1"/>
    <col min="8" max="8" width="15.00390625" style="4" customWidth="1"/>
    <col min="9" max="9" width="18.7109375" style="4" customWidth="1"/>
    <col min="10" max="10" width="15.00390625" style="4" customWidth="1"/>
    <col min="11" max="11" width="14.140625" style="4" customWidth="1"/>
    <col min="12" max="12" width="15.140625" style="3" customWidth="1"/>
    <col min="13" max="13" width="13.421875" style="3" customWidth="1"/>
    <col min="14" max="14" width="13.8515625" style="3" customWidth="1"/>
    <col min="15" max="15" width="12.57421875" style="3" customWidth="1"/>
    <col min="16" max="16" width="18.421875" style="3" customWidth="1"/>
    <col min="17" max="17" width="13.28125" style="3" customWidth="1"/>
    <col min="18" max="18" width="14.8515625" style="3" customWidth="1"/>
    <col min="19" max="19" width="14.57421875" style="3" customWidth="1"/>
    <col min="20" max="20" width="14.421875" style="3" customWidth="1"/>
    <col min="21" max="21" width="16.421875" style="3" customWidth="1"/>
    <col min="22" max="22" width="11.00390625" style="3" customWidth="1"/>
    <col min="23" max="250" width="9.140625" style="3" customWidth="1"/>
    <col min="251" max="251" width="3.57421875" style="3" customWidth="1"/>
    <col min="252" max="252" width="29.140625" style="3" customWidth="1"/>
    <col min="253" max="253" width="14.00390625" style="3" customWidth="1"/>
    <col min="254" max="254" width="16.140625" style="3" customWidth="1"/>
    <col min="255" max="255" width="10.140625" style="3" customWidth="1"/>
    <col min="256" max="16384" width="13.28125" style="3" customWidth="1"/>
  </cols>
  <sheetData>
    <row r="1" spans="1:20" ht="52.5" customHeight="1">
      <c r="A1" s="10"/>
      <c r="B1" s="10"/>
      <c r="C1" s="10"/>
      <c r="D1" s="10"/>
      <c r="E1" s="10"/>
      <c r="F1" s="160" t="s">
        <v>70</v>
      </c>
      <c r="G1" s="160"/>
      <c r="H1" s="160"/>
      <c r="I1" s="160"/>
      <c r="J1" s="160"/>
      <c r="K1" s="160"/>
      <c r="L1" s="10"/>
      <c r="M1" s="10"/>
      <c r="N1" s="10"/>
      <c r="O1" s="10"/>
      <c r="P1" s="10"/>
      <c r="Q1" s="10"/>
      <c r="R1" s="10"/>
      <c r="S1" s="10"/>
      <c r="T1" s="10"/>
    </row>
    <row r="2" spans="1:20" ht="23.25" customHeight="1" thickBot="1">
      <c r="A2" s="11"/>
      <c r="B2" s="10"/>
      <c r="C2" s="12"/>
      <c r="D2" s="13"/>
      <c r="E2" s="14"/>
      <c r="F2" s="12"/>
      <c r="G2" s="12"/>
      <c r="H2" s="15"/>
      <c r="I2" s="15"/>
      <c r="J2" s="15"/>
      <c r="K2" s="15"/>
      <c r="L2" s="16"/>
      <c r="M2" s="16"/>
      <c r="N2" s="16"/>
      <c r="O2" s="16"/>
      <c r="P2" s="16"/>
      <c r="Q2" s="16"/>
      <c r="R2" s="16"/>
      <c r="S2" s="16"/>
      <c r="T2" s="16"/>
    </row>
    <row r="3" spans="1:23" ht="111.75" customHeight="1">
      <c r="A3" s="17" t="s">
        <v>0</v>
      </c>
      <c r="B3" s="18" t="s">
        <v>1</v>
      </c>
      <c r="C3" s="127" t="s">
        <v>53</v>
      </c>
      <c r="D3" s="128" t="s">
        <v>54</v>
      </c>
      <c r="E3" s="129" t="s">
        <v>55</v>
      </c>
      <c r="F3" s="127" t="s">
        <v>56</v>
      </c>
      <c r="G3" s="19" t="s">
        <v>57</v>
      </c>
      <c r="H3" s="19" t="s">
        <v>58</v>
      </c>
      <c r="I3" s="19" t="s">
        <v>59</v>
      </c>
      <c r="J3" s="20" t="s">
        <v>60</v>
      </c>
      <c r="K3" s="20" t="s">
        <v>61</v>
      </c>
      <c r="L3" s="91" t="s">
        <v>62</v>
      </c>
      <c r="M3" s="130" t="s">
        <v>68</v>
      </c>
      <c r="N3" s="131" t="s">
        <v>69</v>
      </c>
      <c r="O3" s="132" t="s">
        <v>63</v>
      </c>
      <c r="P3" s="127" t="s">
        <v>64</v>
      </c>
      <c r="Q3" s="127" t="s">
        <v>65</v>
      </c>
      <c r="R3" s="127" t="s">
        <v>66</v>
      </c>
      <c r="S3" s="131" t="s">
        <v>67</v>
      </c>
      <c r="T3" s="73"/>
      <c r="U3" s="73"/>
      <c r="V3" s="73"/>
      <c r="W3" s="73"/>
    </row>
    <row r="4" spans="1:20" s="5" customFormat="1" ht="12" customHeight="1">
      <c r="A4" s="21">
        <v>1</v>
      </c>
      <c r="B4" s="22">
        <v>2</v>
      </c>
      <c r="C4" s="22">
        <v>3</v>
      </c>
      <c r="D4" s="23">
        <v>4</v>
      </c>
      <c r="E4" s="23">
        <v>5</v>
      </c>
      <c r="F4" s="24">
        <v>6</v>
      </c>
      <c r="G4" s="24">
        <v>7</v>
      </c>
      <c r="H4" s="22">
        <v>8</v>
      </c>
      <c r="I4" s="22">
        <v>9</v>
      </c>
      <c r="J4" s="22">
        <v>10</v>
      </c>
      <c r="K4" s="22">
        <v>11</v>
      </c>
      <c r="L4" s="70">
        <v>12</v>
      </c>
      <c r="M4" s="109">
        <v>13</v>
      </c>
      <c r="N4" s="81">
        <v>14</v>
      </c>
      <c r="O4" s="99">
        <v>15</v>
      </c>
      <c r="P4" s="25">
        <v>16</v>
      </c>
      <c r="Q4" s="25">
        <v>17</v>
      </c>
      <c r="R4" s="25">
        <v>18</v>
      </c>
      <c r="S4" s="81">
        <v>19</v>
      </c>
      <c r="T4" s="74"/>
    </row>
    <row r="5" spans="1:22" s="4" customFormat="1" ht="15.75">
      <c r="A5" s="26">
        <v>1</v>
      </c>
      <c r="B5" s="133" t="s">
        <v>2</v>
      </c>
      <c r="C5" s="27">
        <v>103.397</v>
      </c>
      <c r="D5" s="28">
        <v>5</v>
      </c>
      <c r="E5" s="27"/>
      <c r="F5" s="28"/>
      <c r="G5" s="27">
        <v>0</v>
      </c>
      <c r="H5" s="28">
        <v>0</v>
      </c>
      <c r="I5" s="27"/>
      <c r="J5" s="28">
        <v>1</v>
      </c>
      <c r="K5" s="27">
        <v>0</v>
      </c>
      <c r="L5" s="92">
        <v>0</v>
      </c>
      <c r="M5" s="110">
        <v>63.272</v>
      </c>
      <c r="N5" s="111">
        <v>1</v>
      </c>
      <c r="O5" s="100"/>
      <c r="P5" s="28"/>
      <c r="Q5" s="27">
        <f>40.125-10</f>
        <v>30.125</v>
      </c>
      <c r="R5" s="28">
        <v>2</v>
      </c>
      <c r="S5" s="82"/>
      <c r="T5" s="15"/>
      <c r="U5" s="75"/>
      <c r="V5" s="75"/>
    </row>
    <row r="6" spans="1:22" s="4" customFormat="1" ht="16.5" thickBot="1">
      <c r="A6" s="45">
        <v>2</v>
      </c>
      <c r="B6" s="135" t="s">
        <v>3</v>
      </c>
      <c r="C6" s="46">
        <v>22.068</v>
      </c>
      <c r="D6" s="47">
        <v>1</v>
      </c>
      <c r="E6" s="46"/>
      <c r="F6" s="47"/>
      <c r="G6" s="46">
        <v>0</v>
      </c>
      <c r="H6" s="47">
        <v>0</v>
      </c>
      <c r="I6" s="46">
        <v>0</v>
      </c>
      <c r="J6" s="47">
        <v>0</v>
      </c>
      <c r="K6" s="46"/>
      <c r="L6" s="93"/>
      <c r="M6" s="134">
        <v>22.068</v>
      </c>
      <c r="N6" s="113">
        <v>1</v>
      </c>
      <c r="O6" s="101"/>
      <c r="P6" s="47"/>
      <c r="Q6" s="46"/>
      <c r="R6" s="47"/>
      <c r="S6" s="83"/>
      <c r="T6" s="15"/>
      <c r="U6" s="75"/>
      <c r="V6" s="75"/>
    </row>
    <row r="7" spans="1:22" s="4" customFormat="1" ht="16.5" thickBot="1">
      <c r="A7" s="154" t="s">
        <v>4</v>
      </c>
      <c r="B7" s="155"/>
      <c r="C7" s="53">
        <f>SUM(C5:C6)</f>
        <v>125.465</v>
      </c>
      <c r="D7" s="53">
        <f>SUM(D5:D6)</f>
        <v>6</v>
      </c>
      <c r="E7" s="53">
        <f>SUM(E5:E6)</f>
        <v>0</v>
      </c>
      <c r="F7" s="53">
        <f>SUM(F5:F6)</f>
        <v>0</v>
      </c>
      <c r="G7" s="53">
        <f aca="true" t="shared" si="0" ref="G7:S7">SUM(G5:G6)</f>
        <v>0</v>
      </c>
      <c r="H7" s="54">
        <f t="shared" si="0"/>
        <v>0</v>
      </c>
      <c r="I7" s="53">
        <f t="shared" si="0"/>
        <v>0</v>
      </c>
      <c r="J7" s="54">
        <f t="shared" si="0"/>
        <v>1</v>
      </c>
      <c r="K7" s="54">
        <f t="shared" si="0"/>
        <v>0</v>
      </c>
      <c r="L7" s="71">
        <f t="shared" si="0"/>
        <v>0</v>
      </c>
      <c r="M7" s="114">
        <f t="shared" si="0"/>
        <v>85.34</v>
      </c>
      <c r="N7" s="84">
        <f t="shared" si="0"/>
        <v>2</v>
      </c>
      <c r="O7" s="102">
        <f t="shared" si="0"/>
        <v>0</v>
      </c>
      <c r="P7" s="54">
        <f t="shared" si="0"/>
        <v>0</v>
      </c>
      <c r="Q7" s="54">
        <f t="shared" si="0"/>
        <v>30.125</v>
      </c>
      <c r="R7" s="54">
        <f t="shared" si="0"/>
        <v>2</v>
      </c>
      <c r="S7" s="84">
        <f t="shared" si="0"/>
        <v>0</v>
      </c>
      <c r="T7" s="76"/>
      <c r="U7" s="77"/>
      <c r="V7" s="77"/>
    </row>
    <row r="8" spans="1:22" s="4" customFormat="1" ht="15.75">
      <c r="A8" s="156" t="s">
        <v>5</v>
      </c>
      <c r="B8" s="157"/>
      <c r="C8" s="48"/>
      <c r="D8" s="49"/>
      <c r="E8" s="50"/>
      <c r="F8" s="49"/>
      <c r="G8" s="50"/>
      <c r="H8" s="51"/>
      <c r="I8" s="51"/>
      <c r="J8" s="52"/>
      <c r="K8" s="51"/>
      <c r="L8" s="94"/>
      <c r="M8" s="115"/>
      <c r="N8" s="116"/>
      <c r="O8" s="103"/>
      <c r="P8" s="52"/>
      <c r="Q8" s="51"/>
      <c r="R8" s="52"/>
      <c r="S8" s="85"/>
      <c r="T8" s="15"/>
      <c r="U8" s="75"/>
      <c r="V8" s="75"/>
    </row>
    <row r="9" spans="1:22" s="9" customFormat="1" ht="15.75">
      <c r="A9" s="29">
        <v>1</v>
      </c>
      <c r="B9" s="136" t="s">
        <v>6</v>
      </c>
      <c r="C9" s="30">
        <v>420.752</v>
      </c>
      <c r="D9" s="31">
        <v>22</v>
      </c>
      <c r="E9" s="30">
        <v>43.623</v>
      </c>
      <c r="F9" s="32">
        <v>1</v>
      </c>
      <c r="G9" s="30">
        <v>0</v>
      </c>
      <c r="H9" s="32">
        <v>0</v>
      </c>
      <c r="I9" s="30">
        <v>0</v>
      </c>
      <c r="J9" s="32">
        <v>0</v>
      </c>
      <c r="K9" s="30">
        <v>0</v>
      </c>
      <c r="L9" s="95">
        <v>0</v>
      </c>
      <c r="M9" s="117">
        <v>289.255</v>
      </c>
      <c r="N9" s="118">
        <v>13</v>
      </c>
      <c r="O9" s="104"/>
      <c r="P9" s="32"/>
      <c r="Q9" s="30">
        <v>87.874</v>
      </c>
      <c r="R9" s="32">
        <v>8</v>
      </c>
      <c r="S9" s="86"/>
      <c r="T9" s="15"/>
      <c r="U9" s="75"/>
      <c r="V9" s="75"/>
    </row>
    <row r="10" spans="1:22" s="4" customFormat="1" ht="15.75">
      <c r="A10" s="33">
        <v>2</v>
      </c>
      <c r="B10" s="136" t="s">
        <v>7</v>
      </c>
      <c r="C10" s="27">
        <v>444.363</v>
      </c>
      <c r="D10" s="137">
        <v>20</v>
      </c>
      <c r="E10" s="27">
        <v>32.843</v>
      </c>
      <c r="F10" s="28">
        <v>1</v>
      </c>
      <c r="G10" s="27">
        <v>0</v>
      </c>
      <c r="H10" s="28">
        <v>0</v>
      </c>
      <c r="I10" s="27">
        <v>0</v>
      </c>
      <c r="J10" s="28">
        <v>0</v>
      </c>
      <c r="K10" s="27">
        <v>0</v>
      </c>
      <c r="L10" s="92">
        <v>0</v>
      </c>
      <c r="M10" s="110">
        <v>297.102</v>
      </c>
      <c r="N10" s="111">
        <v>10</v>
      </c>
      <c r="O10" s="100">
        <v>21.626</v>
      </c>
      <c r="P10" s="28">
        <v>1</v>
      </c>
      <c r="Q10" s="27">
        <v>92.792</v>
      </c>
      <c r="R10" s="28">
        <v>8</v>
      </c>
      <c r="S10" s="82"/>
      <c r="T10" s="15"/>
      <c r="U10" s="75"/>
      <c r="V10" s="75"/>
    </row>
    <row r="11" spans="1:22" s="4" customFormat="1" ht="15.75">
      <c r="A11" s="33">
        <v>3</v>
      </c>
      <c r="B11" s="133" t="s">
        <v>8</v>
      </c>
      <c r="C11" s="27">
        <v>756.846</v>
      </c>
      <c r="D11" s="34">
        <v>26</v>
      </c>
      <c r="E11" s="27">
        <v>38.05</v>
      </c>
      <c r="F11" s="28">
        <v>1</v>
      </c>
      <c r="G11" s="27">
        <v>0</v>
      </c>
      <c r="H11" s="28">
        <v>0</v>
      </c>
      <c r="I11" s="27">
        <v>0</v>
      </c>
      <c r="J11" s="28">
        <v>0</v>
      </c>
      <c r="K11" s="27">
        <v>0</v>
      </c>
      <c r="L11" s="92">
        <v>0</v>
      </c>
      <c r="M11" s="110">
        <v>631.908</v>
      </c>
      <c r="N11" s="111">
        <v>13</v>
      </c>
      <c r="O11" s="100">
        <v>27.488</v>
      </c>
      <c r="P11" s="28">
        <v>1</v>
      </c>
      <c r="Q11" s="27">
        <v>59.4</v>
      </c>
      <c r="R11" s="28">
        <v>11</v>
      </c>
      <c r="S11" s="82"/>
      <c r="T11" s="15"/>
      <c r="U11" s="75"/>
      <c r="V11" s="78"/>
    </row>
    <row r="12" spans="1:22" s="4" customFormat="1" ht="15.75">
      <c r="A12" s="33">
        <v>4</v>
      </c>
      <c r="B12" s="133" t="s">
        <v>9</v>
      </c>
      <c r="C12" s="27">
        <v>381.291</v>
      </c>
      <c r="D12" s="34">
        <v>21</v>
      </c>
      <c r="E12" s="27">
        <v>60.494</v>
      </c>
      <c r="F12" s="28">
        <v>2</v>
      </c>
      <c r="G12" s="27">
        <v>0</v>
      </c>
      <c r="H12" s="28">
        <v>0</v>
      </c>
      <c r="I12" s="27">
        <v>0</v>
      </c>
      <c r="J12" s="28">
        <v>0</v>
      </c>
      <c r="K12" s="27">
        <v>0</v>
      </c>
      <c r="L12" s="92">
        <v>0</v>
      </c>
      <c r="M12" s="110">
        <v>241.825</v>
      </c>
      <c r="N12" s="111">
        <v>10</v>
      </c>
      <c r="O12" s="100">
        <v>18.85</v>
      </c>
      <c r="P12" s="28">
        <v>1</v>
      </c>
      <c r="Q12" s="27">
        <v>60.122</v>
      </c>
      <c r="R12" s="28">
        <v>8</v>
      </c>
      <c r="S12" s="82">
        <v>1.262</v>
      </c>
      <c r="T12" s="15"/>
      <c r="U12" s="75"/>
      <c r="V12" s="78"/>
    </row>
    <row r="13" spans="1:22" s="4" customFormat="1" ht="15.75">
      <c r="A13" s="33">
        <v>5</v>
      </c>
      <c r="B13" s="133" t="s">
        <v>10</v>
      </c>
      <c r="C13" s="27">
        <v>489.943</v>
      </c>
      <c r="D13" s="34">
        <f>19-2</f>
        <v>17</v>
      </c>
      <c r="E13" s="27">
        <v>85.322</v>
      </c>
      <c r="F13" s="28">
        <v>1</v>
      </c>
      <c r="G13" s="27">
        <v>0</v>
      </c>
      <c r="H13" s="28">
        <v>0</v>
      </c>
      <c r="I13" s="27">
        <v>0</v>
      </c>
      <c r="J13" s="28">
        <v>0</v>
      </c>
      <c r="K13" s="27">
        <v>0</v>
      </c>
      <c r="L13" s="92">
        <v>0</v>
      </c>
      <c r="M13" s="138">
        <f>350.35-3.903</f>
        <v>346.447</v>
      </c>
      <c r="N13" s="111">
        <f>9-1</f>
        <v>8</v>
      </c>
      <c r="O13" s="100">
        <v>0</v>
      </c>
      <c r="P13" s="28"/>
      <c r="Q13" s="27">
        <f>54.271-2.47</f>
        <v>51.801</v>
      </c>
      <c r="R13" s="28">
        <f>9-1</f>
        <v>8</v>
      </c>
      <c r="S13" s="82"/>
      <c r="T13" s="15"/>
      <c r="U13" s="75"/>
      <c r="V13" s="75"/>
    </row>
    <row r="14" spans="1:22" s="9" customFormat="1" ht="15.75">
      <c r="A14" s="29">
        <v>6</v>
      </c>
      <c r="B14" s="133" t="s">
        <v>11</v>
      </c>
      <c r="C14" s="30">
        <v>441.338</v>
      </c>
      <c r="D14" s="31">
        <v>23</v>
      </c>
      <c r="E14" s="30">
        <v>30.33</v>
      </c>
      <c r="F14" s="32">
        <v>1</v>
      </c>
      <c r="G14" s="30">
        <v>0</v>
      </c>
      <c r="H14" s="32">
        <v>0</v>
      </c>
      <c r="I14" s="30">
        <v>0</v>
      </c>
      <c r="J14" s="32">
        <v>0</v>
      </c>
      <c r="K14" s="30">
        <v>0</v>
      </c>
      <c r="L14" s="95">
        <v>0</v>
      </c>
      <c r="M14" s="139">
        <v>291.606</v>
      </c>
      <c r="N14" s="118">
        <v>10</v>
      </c>
      <c r="O14" s="104">
        <v>22.939</v>
      </c>
      <c r="P14" s="32">
        <v>1</v>
      </c>
      <c r="Q14" s="30">
        <v>96.463</v>
      </c>
      <c r="R14" s="32">
        <v>11</v>
      </c>
      <c r="S14" s="86"/>
      <c r="T14" s="15"/>
      <c r="U14" s="75"/>
      <c r="V14" s="78"/>
    </row>
    <row r="15" spans="1:22" s="9" customFormat="1" ht="15.75">
      <c r="A15" s="29">
        <v>7</v>
      </c>
      <c r="B15" s="133" t="s">
        <v>12</v>
      </c>
      <c r="C15" s="30">
        <v>337.334</v>
      </c>
      <c r="D15" s="31">
        <v>19</v>
      </c>
      <c r="E15" s="30">
        <v>27.905</v>
      </c>
      <c r="F15" s="32">
        <v>1</v>
      </c>
      <c r="G15" s="30">
        <v>0</v>
      </c>
      <c r="H15" s="32">
        <v>0</v>
      </c>
      <c r="I15" s="30">
        <v>0</v>
      </c>
      <c r="J15" s="32">
        <v>0</v>
      </c>
      <c r="K15" s="30">
        <v>0</v>
      </c>
      <c r="L15" s="95">
        <v>0</v>
      </c>
      <c r="M15" s="139">
        <v>254.821</v>
      </c>
      <c r="N15" s="118">
        <v>9</v>
      </c>
      <c r="O15" s="104">
        <v>0</v>
      </c>
      <c r="P15" s="32"/>
      <c r="Q15" s="30">
        <v>54.608</v>
      </c>
      <c r="R15" s="32">
        <v>9</v>
      </c>
      <c r="S15" s="86"/>
      <c r="T15" s="15"/>
      <c r="U15" s="75"/>
      <c r="V15" s="75"/>
    </row>
    <row r="16" spans="1:22" s="4" customFormat="1" ht="15.75">
      <c r="A16" s="33">
        <v>8</v>
      </c>
      <c r="B16" s="133" t="s">
        <v>13</v>
      </c>
      <c r="C16" s="27">
        <v>1036.398</v>
      </c>
      <c r="D16" s="34">
        <v>20</v>
      </c>
      <c r="E16" s="27">
        <v>92.638</v>
      </c>
      <c r="F16" s="28">
        <v>2</v>
      </c>
      <c r="G16" s="27">
        <v>0</v>
      </c>
      <c r="H16" s="28">
        <v>0</v>
      </c>
      <c r="I16" s="27">
        <v>0</v>
      </c>
      <c r="J16" s="28">
        <v>0</v>
      </c>
      <c r="K16" s="27">
        <v>0</v>
      </c>
      <c r="L16" s="92">
        <v>0</v>
      </c>
      <c r="M16" s="138">
        <v>868.316</v>
      </c>
      <c r="N16" s="111">
        <v>10</v>
      </c>
      <c r="O16" s="100">
        <v>31.161</v>
      </c>
      <c r="P16" s="28">
        <v>1</v>
      </c>
      <c r="Q16" s="27">
        <f>44.283-1.852</f>
        <v>42.431000000000004</v>
      </c>
      <c r="R16" s="28">
        <f>7-1</f>
        <v>6</v>
      </c>
      <c r="S16" s="82">
        <v>10.27</v>
      </c>
      <c r="T16" s="15"/>
      <c r="U16" s="75"/>
      <c r="V16" s="78"/>
    </row>
    <row r="17" spans="1:22" s="4" customFormat="1" ht="18.75" customHeight="1" thickBot="1">
      <c r="A17" s="55">
        <v>9</v>
      </c>
      <c r="B17" s="135" t="s">
        <v>14</v>
      </c>
      <c r="C17" s="46">
        <v>640.29</v>
      </c>
      <c r="D17" s="56">
        <v>20</v>
      </c>
      <c r="E17" s="46">
        <v>103.634</v>
      </c>
      <c r="F17" s="47">
        <v>2</v>
      </c>
      <c r="G17" s="46">
        <v>0</v>
      </c>
      <c r="H17" s="47">
        <v>0</v>
      </c>
      <c r="I17" s="46">
        <v>0</v>
      </c>
      <c r="J17" s="47">
        <v>0</v>
      </c>
      <c r="K17" s="46">
        <v>0</v>
      </c>
      <c r="L17" s="93">
        <v>0</v>
      </c>
      <c r="M17" s="134">
        <v>464.864</v>
      </c>
      <c r="N17" s="113">
        <v>11</v>
      </c>
      <c r="O17" s="101">
        <v>29.188</v>
      </c>
      <c r="P17" s="47">
        <v>1</v>
      </c>
      <c r="Q17" s="46">
        <v>42.604</v>
      </c>
      <c r="R17" s="47">
        <v>6</v>
      </c>
      <c r="S17" s="83"/>
      <c r="T17" s="15"/>
      <c r="U17" s="75"/>
      <c r="V17" s="78"/>
    </row>
    <row r="18" spans="1:22" s="4" customFormat="1" ht="16.5" thickBot="1">
      <c r="A18" s="60" t="s">
        <v>15</v>
      </c>
      <c r="B18" s="61"/>
      <c r="C18" s="53">
        <f>SUM(C9:C17)</f>
        <v>4948.554999999999</v>
      </c>
      <c r="D18" s="53">
        <f>SUM(D9:D17)</f>
        <v>188</v>
      </c>
      <c r="E18" s="53">
        <f>SUM(E9:E17)</f>
        <v>514.839</v>
      </c>
      <c r="F18" s="53">
        <f>SUM(F9:F17)</f>
        <v>12</v>
      </c>
      <c r="G18" s="53">
        <f>SUM(G9:G17)</f>
        <v>0</v>
      </c>
      <c r="H18" s="54">
        <f>SUM(H9:H17)</f>
        <v>0</v>
      </c>
      <c r="I18" s="53">
        <f>SUM(I9:I17)</f>
        <v>0</v>
      </c>
      <c r="J18" s="54">
        <f>SUM(J9:J17)</f>
        <v>0</v>
      </c>
      <c r="K18" s="53">
        <f>SUM(K9:K17)</f>
        <v>0</v>
      </c>
      <c r="L18" s="71">
        <f>SUM(L9:L17)</f>
        <v>0</v>
      </c>
      <c r="M18" s="114">
        <f aca="true" t="shared" si="1" ref="M18:S18">SUM(M9:M17)</f>
        <v>3686.144</v>
      </c>
      <c r="N18" s="84">
        <f t="shared" si="1"/>
        <v>94</v>
      </c>
      <c r="O18" s="102">
        <f t="shared" si="1"/>
        <v>151.25199999999998</v>
      </c>
      <c r="P18" s="54">
        <f t="shared" si="1"/>
        <v>6</v>
      </c>
      <c r="Q18" s="54">
        <f t="shared" si="1"/>
        <v>588.095</v>
      </c>
      <c r="R18" s="54">
        <f t="shared" si="1"/>
        <v>75</v>
      </c>
      <c r="S18" s="84">
        <f t="shared" si="1"/>
        <v>11.532</v>
      </c>
      <c r="T18" s="15"/>
      <c r="U18" s="77"/>
      <c r="V18" s="79"/>
    </row>
    <row r="19" spans="1:22" s="4" customFormat="1" ht="15.75">
      <c r="A19" s="57"/>
      <c r="B19" s="58" t="s">
        <v>16</v>
      </c>
      <c r="C19" s="59"/>
      <c r="D19" s="49"/>
      <c r="E19" s="50"/>
      <c r="F19" s="49"/>
      <c r="G19" s="50"/>
      <c r="H19" s="51"/>
      <c r="I19" s="51"/>
      <c r="J19" s="52"/>
      <c r="K19" s="51"/>
      <c r="L19" s="94"/>
      <c r="M19" s="115"/>
      <c r="N19" s="116"/>
      <c r="O19" s="103"/>
      <c r="P19" s="52"/>
      <c r="Q19" s="51"/>
      <c r="R19" s="52"/>
      <c r="S19" s="85"/>
      <c r="T19" s="15"/>
      <c r="U19" s="75"/>
      <c r="V19" s="75"/>
    </row>
    <row r="20" spans="1:22" s="9" customFormat="1" ht="15.75">
      <c r="A20" s="35">
        <v>1</v>
      </c>
      <c r="B20" s="133" t="s">
        <v>17</v>
      </c>
      <c r="C20" s="30">
        <f>1392.893-40.906</f>
        <v>1351.987</v>
      </c>
      <c r="D20" s="31">
        <f>61-4</f>
        <v>57</v>
      </c>
      <c r="E20" s="30">
        <v>189.733</v>
      </c>
      <c r="F20" s="32">
        <v>5</v>
      </c>
      <c r="G20" s="30">
        <v>0</v>
      </c>
      <c r="H20" s="32">
        <v>0</v>
      </c>
      <c r="I20" s="30">
        <v>0</v>
      </c>
      <c r="J20" s="32">
        <v>0</v>
      </c>
      <c r="K20" s="30">
        <v>0</v>
      </c>
      <c r="L20" s="95">
        <v>0</v>
      </c>
      <c r="M20" s="117">
        <f>1006.319-4.17</f>
        <v>1002.149</v>
      </c>
      <c r="N20" s="118">
        <f>36-1</f>
        <v>35</v>
      </c>
      <c r="O20" s="104">
        <v>43.925</v>
      </c>
      <c r="P20" s="32">
        <v>3</v>
      </c>
      <c r="Q20" s="30">
        <f>152.916-22.074-14.662</f>
        <v>116.17999999999998</v>
      </c>
      <c r="R20" s="32">
        <f>17-2-1</f>
        <v>14</v>
      </c>
      <c r="S20" s="86"/>
      <c r="T20" s="15"/>
      <c r="U20" s="78"/>
      <c r="V20" s="75"/>
    </row>
    <row r="21" spans="1:22" s="4" customFormat="1" ht="15.75">
      <c r="A21" s="26">
        <v>2</v>
      </c>
      <c r="B21" s="133" t="s">
        <v>18</v>
      </c>
      <c r="C21" s="27">
        <f>1199.237-6.31</f>
        <v>1192.9270000000001</v>
      </c>
      <c r="D21" s="34">
        <f>28-2</f>
        <v>26</v>
      </c>
      <c r="E21" s="27">
        <v>166.563</v>
      </c>
      <c r="F21" s="28">
        <v>4</v>
      </c>
      <c r="G21" s="27">
        <v>0</v>
      </c>
      <c r="H21" s="28">
        <v>0</v>
      </c>
      <c r="I21" s="27">
        <v>0</v>
      </c>
      <c r="J21" s="28">
        <v>0</v>
      </c>
      <c r="K21" s="27">
        <v>0</v>
      </c>
      <c r="L21" s="92">
        <v>0</v>
      </c>
      <c r="M21" s="110">
        <v>924.425</v>
      </c>
      <c r="N21" s="111">
        <v>12</v>
      </c>
      <c r="O21" s="100">
        <v>20.547</v>
      </c>
      <c r="P21" s="28">
        <v>2</v>
      </c>
      <c r="Q21" s="27">
        <f>87.832-6.31</f>
        <v>81.52199999999999</v>
      </c>
      <c r="R21" s="28">
        <f>10-2</f>
        <v>8</v>
      </c>
      <c r="S21" s="82"/>
      <c r="T21" s="15"/>
      <c r="U21" s="75"/>
      <c r="V21" s="75"/>
    </row>
    <row r="22" spans="1:22" s="8" customFormat="1" ht="15.75">
      <c r="A22" s="36">
        <v>3</v>
      </c>
      <c r="B22" s="37" t="s">
        <v>19</v>
      </c>
      <c r="C22" s="38">
        <f>1215.23+18-6.498-217.014</f>
        <v>1009.718</v>
      </c>
      <c r="D22" s="39">
        <f>55+2-16</f>
        <v>41</v>
      </c>
      <c r="E22" s="38">
        <f>205.399-53.169</f>
        <v>152.23000000000002</v>
      </c>
      <c r="F22" s="40">
        <f>5-1</f>
        <v>4</v>
      </c>
      <c r="G22" s="38">
        <v>0</v>
      </c>
      <c r="H22" s="40">
        <v>0</v>
      </c>
      <c r="I22" s="38">
        <v>0</v>
      </c>
      <c r="J22" s="40">
        <v>0</v>
      </c>
      <c r="K22" s="38">
        <v>0</v>
      </c>
      <c r="L22" s="96">
        <v>0</v>
      </c>
      <c r="M22" s="119">
        <v>698.156</v>
      </c>
      <c r="N22" s="120">
        <v>17</v>
      </c>
      <c r="O22" s="105">
        <f>106.993-64.31-9.338-3.268</f>
        <v>30.07699999999999</v>
      </c>
      <c r="P22" s="40">
        <f>7-2-1-1</f>
        <v>3</v>
      </c>
      <c r="Q22" s="38">
        <f>204.682+18-6.498-9-6.287-29.144-9-33.498</f>
        <v>129.255</v>
      </c>
      <c r="R22" s="40">
        <f>26+2-1-1-1-4-1-4</f>
        <v>16</v>
      </c>
      <c r="S22" s="87"/>
      <c r="T22" s="15"/>
      <c r="U22" s="78"/>
      <c r="V22" s="75"/>
    </row>
    <row r="23" spans="1:22" s="9" customFormat="1" ht="15.75">
      <c r="A23" s="35">
        <v>4</v>
      </c>
      <c r="B23" s="133" t="s">
        <v>20</v>
      </c>
      <c r="C23" s="30">
        <f>415.669-21.482</f>
        <v>394.187</v>
      </c>
      <c r="D23" s="31">
        <f>25-1</f>
        <v>24</v>
      </c>
      <c r="E23" s="30">
        <f>63.117-21.482</f>
        <v>41.635</v>
      </c>
      <c r="F23" s="32">
        <f>2-1</f>
        <v>1</v>
      </c>
      <c r="G23" s="30">
        <v>0</v>
      </c>
      <c r="H23" s="32">
        <v>0</v>
      </c>
      <c r="I23" s="30">
        <v>0</v>
      </c>
      <c r="J23" s="32">
        <v>0</v>
      </c>
      <c r="K23" s="30">
        <v>0</v>
      </c>
      <c r="L23" s="95">
        <v>0</v>
      </c>
      <c r="M23" s="117">
        <v>249.515</v>
      </c>
      <c r="N23" s="118">
        <v>12</v>
      </c>
      <c r="O23" s="104">
        <v>19.026</v>
      </c>
      <c r="P23" s="32">
        <v>1</v>
      </c>
      <c r="Q23" s="30">
        <v>84.011</v>
      </c>
      <c r="R23" s="32">
        <v>10</v>
      </c>
      <c r="S23" s="86"/>
      <c r="T23" s="15"/>
      <c r="U23" s="75"/>
      <c r="V23" s="75"/>
    </row>
    <row r="24" spans="1:22" s="8" customFormat="1" ht="15.75">
      <c r="A24" s="36">
        <v>5</v>
      </c>
      <c r="B24" s="37" t="s">
        <v>21</v>
      </c>
      <c r="C24" s="38">
        <f>934.037+69.897-42.096-149.32</f>
        <v>812.518</v>
      </c>
      <c r="D24" s="39">
        <f>38+5-4-6</f>
        <v>33</v>
      </c>
      <c r="E24" s="38">
        <v>169.572</v>
      </c>
      <c r="F24" s="40">
        <v>4</v>
      </c>
      <c r="G24" s="38">
        <v>0</v>
      </c>
      <c r="H24" s="40">
        <v>0</v>
      </c>
      <c r="I24" s="38">
        <v>0</v>
      </c>
      <c r="J24" s="40">
        <v>0</v>
      </c>
      <c r="K24" s="38">
        <v>0</v>
      </c>
      <c r="L24" s="96">
        <v>0</v>
      </c>
      <c r="M24" s="119">
        <v>429.452</v>
      </c>
      <c r="N24" s="120">
        <v>14</v>
      </c>
      <c r="O24" s="105">
        <f>154.875+21.967-103.622</f>
        <v>73.21999999999998</v>
      </c>
      <c r="P24" s="40">
        <f>6+1-2-1</f>
        <v>4</v>
      </c>
      <c r="Q24" s="38">
        <f>180.138+47.93-42.096-25.685-11.015-9</f>
        <v>140.272</v>
      </c>
      <c r="R24" s="40">
        <f>14+4-4-1-1-1</f>
        <v>11</v>
      </c>
      <c r="S24" s="87">
        <v>6.857</v>
      </c>
      <c r="T24" s="15"/>
      <c r="U24" s="75"/>
      <c r="V24" s="75"/>
    </row>
    <row r="25" spans="1:22" s="4" customFormat="1" ht="15.75">
      <c r="A25" s="26">
        <v>6</v>
      </c>
      <c r="B25" s="133" t="s">
        <v>22</v>
      </c>
      <c r="C25" s="27">
        <v>1146.232</v>
      </c>
      <c r="D25" s="34">
        <v>45</v>
      </c>
      <c r="E25" s="27">
        <v>188.286</v>
      </c>
      <c r="F25" s="28">
        <v>5</v>
      </c>
      <c r="G25" s="27">
        <v>0</v>
      </c>
      <c r="H25" s="28">
        <v>0</v>
      </c>
      <c r="I25" s="27">
        <v>0</v>
      </c>
      <c r="J25" s="28">
        <v>0</v>
      </c>
      <c r="K25" s="27">
        <v>0</v>
      </c>
      <c r="L25" s="92">
        <v>0</v>
      </c>
      <c r="M25" s="138">
        <v>810.94</v>
      </c>
      <c r="N25" s="111">
        <v>25</v>
      </c>
      <c r="O25" s="100">
        <v>57.147</v>
      </c>
      <c r="P25" s="28">
        <v>4</v>
      </c>
      <c r="Q25" s="27">
        <v>89.859</v>
      </c>
      <c r="R25" s="28">
        <v>11</v>
      </c>
      <c r="S25" s="82">
        <v>3.418</v>
      </c>
      <c r="T25" s="15"/>
      <c r="U25" s="78"/>
      <c r="V25" s="75"/>
    </row>
    <row r="26" spans="1:22" s="4" customFormat="1" ht="15.75">
      <c r="A26" s="26">
        <v>7</v>
      </c>
      <c r="B26" s="133" t="s">
        <v>23</v>
      </c>
      <c r="C26" s="27">
        <v>775.669</v>
      </c>
      <c r="D26" s="34">
        <v>38</v>
      </c>
      <c r="E26" s="27">
        <v>129.36</v>
      </c>
      <c r="F26" s="28">
        <v>4</v>
      </c>
      <c r="G26" s="27">
        <v>0</v>
      </c>
      <c r="H26" s="28">
        <v>0</v>
      </c>
      <c r="I26" s="27">
        <v>0</v>
      </c>
      <c r="J26" s="28">
        <v>0</v>
      </c>
      <c r="K26" s="27">
        <v>0</v>
      </c>
      <c r="L26" s="92">
        <v>0</v>
      </c>
      <c r="M26" s="138">
        <v>507.716</v>
      </c>
      <c r="N26" s="111">
        <v>21</v>
      </c>
      <c r="O26" s="100">
        <v>60.776</v>
      </c>
      <c r="P26" s="28">
        <v>3</v>
      </c>
      <c r="Q26" s="27">
        <v>77.817</v>
      </c>
      <c r="R26" s="28">
        <v>10</v>
      </c>
      <c r="S26" s="82"/>
      <c r="T26" s="15"/>
      <c r="U26" s="75"/>
      <c r="V26" s="75"/>
    </row>
    <row r="27" spans="1:22" s="4" customFormat="1" ht="15.75">
      <c r="A27" s="26">
        <v>8</v>
      </c>
      <c r="B27" s="133" t="s">
        <v>24</v>
      </c>
      <c r="C27" s="27">
        <v>675.589</v>
      </c>
      <c r="D27" s="34">
        <v>30</v>
      </c>
      <c r="E27" s="27">
        <v>107.353</v>
      </c>
      <c r="F27" s="28">
        <v>3</v>
      </c>
      <c r="G27" s="27">
        <v>0</v>
      </c>
      <c r="H27" s="28">
        <v>0</v>
      </c>
      <c r="I27" s="27">
        <v>0</v>
      </c>
      <c r="J27" s="28">
        <v>0</v>
      </c>
      <c r="K27" s="27">
        <v>0</v>
      </c>
      <c r="L27" s="92">
        <v>0</v>
      </c>
      <c r="M27" s="138">
        <v>428.53</v>
      </c>
      <c r="N27" s="111">
        <v>14</v>
      </c>
      <c r="O27" s="100">
        <v>39.28</v>
      </c>
      <c r="P27" s="28">
        <v>2</v>
      </c>
      <c r="Q27" s="27">
        <v>100.426</v>
      </c>
      <c r="R27" s="28">
        <v>11</v>
      </c>
      <c r="S27" s="82"/>
      <c r="T27" s="15"/>
      <c r="U27" s="75"/>
      <c r="V27" s="75"/>
    </row>
    <row r="28" spans="1:22" s="4" customFormat="1" ht="15.75">
      <c r="A28" s="26">
        <v>9</v>
      </c>
      <c r="B28" s="133" t="s">
        <v>25</v>
      </c>
      <c r="C28" s="27">
        <f>1451.62-3.087</f>
        <v>1448.533</v>
      </c>
      <c r="D28" s="34">
        <f>28-2</f>
        <v>26</v>
      </c>
      <c r="E28" s="27">
        <v>133.868</v>
      </c>
      <c r="F28" s="28">
        <v>3</v>
      </c>
      <c r="G28" s="27">
        <v>0</v>
      </c>
      <c r="H28" s="28">
        <v>0</v>
      </c>
      <c r="I28" s="27">
        <v>0</v>
      </c>
      <c r="J28" s="28">
        <v>0</v>
      </c>
      <c r="K28" s="27">
        <v>0</v>
      </c>
      <c r="L28" s="92">
        <v>0</v>
      </c>
      <c r="M28" s="138">
        <v>1191.34</v>
      </c>
      <c r="N28" s="111">
        <v>13</v>
      </c>
      <c r="O28" s="100">
        <v>43.462</v>
      </c>
      <c r="P28" s="28">
        <v>2</v>
      </c>
      <c r="Q28" s="27">
        <f>82.95-3.087</f>
        <v>79.863</v>
      </c>
      <c r="R28" s="28">
        <f>10-2</f>
        <v>8</v>
      </c>
      <c r="S28" s="82">
        <v>5</v>
      </c>
      <c r="T28" s="15"/>
      <c r="U28" s="75"/>
      <c r="V28" s="78"/>
    </row>
    <row r="29" spans="1:22" s="9" customFormat="1" ht="15.75">
      <c r="A29" s="35">
        <v>10</v>
      </c>
      <c r="B29" s="133" t="s">
        <v>26</v>
      </c>
      <c r="C29" s="30">
        <v>790.411</v>
      </c>
      <c r="D29" s="31">
        <v>35</v>
      </c>
      <c r="E29" s="30">
        <v>69.152</v>
      </c>
      <c r="F29" s="32">
        <v>2</v>
      </c>
      <c r="G29" s="30">
        <v>0</v>
      </c>
      <c r="H29" s="32">
        <v>0</v>
      </c>
      <c r="I29" s="30">
        <v>0</v>
      </c>
      <c r="J29" s="32">
        <v>0</v>
      </c>
      <c r="K29" s="30">
        <v>0</v>
      </c>
      <c r="L29" s="95">
        <v>0</v>
      </c>
      <c r="M29" s="139">
        <v>561.786</v>
      </c>
      <c r="N29" s="118">
        <v>16</v>
      </c>
      <c r="O29" s="104">
        <v>56.272</v>
      </c>
      <c r="P29" s="32">
        <v>4</v>
      </c>
      <c r="Q29" s="30">
        <v>103.201</v>
      </c>
      <c r="R29" s="32">
        <v>13</v>
      </c>
      <c r="S29" s="86">
        <v>8</v>
      </c>
      <c r="T29" s="15"/>
      <c r="U29" s="75"/>
      <c r="V29" s="78"/>
    </row>
    <row r="30" spans="1:22" s="8" customFormat="1" ht="15.75">
      <c r="A30" s="36">
        <v>11</v>
      </c>
      <c r="B30" s="37" t="s">
        <v>27</v>
      </c>
      <c r="C30" s="38">
        <f>2811.094+56.33-500.977-19.266</f>
        <v>2347.181</v>
      </c>
      <c r="D30" s="39">
        <f>109+4-33-3</f>
        <v>77</v>
      </c>
      <c r="E30" s="38">
        <f>350.721-37.33</f>
        <v>313.391</v>
      </c>
      <c r="F30" s="40">
        <f>8-1</f>
        <v>7</v>
      </c>
      <c r="G30" s="38">
        <v>0</v>
      </c>
      <c r="H30" s="40">
        <v>0</v>
      </c>
      <c r="I30" s="38">
        <v>0</v>
      </c>
      <c r="J30" s="40">
        <v>0</v>
      </c>
      <c r="K30" s="38">
        <v>0</v>
      </c>
      <c r="L30" s="96">
        <v>0</v>
      </c>
      <c r="M30" s="140">
        <v>1463.809</v>
      </c>
      <c r="N30" s="120">
        <v>40</v>
      </c>
      <c r="O30" s="105">
        <f>511.47+14.627-243.387-12.168-24.845</f>
        <v>245.69699999999997</v>
      </c>
      <c r="P30" s="40">
        <f>18+1-12-1-1</f>
        <v>5</v>
      </c>
      <c r="Q30" s="38">
        <f>485.094+41.703-91.979-21.635-35.552-13.091-6.175-14.812-19.266</f>
        <v>324.287</v>
      </c>
      <c r="R30" s="40">
        <f>42+3-11-1-3-1-1-1</f>
        <v>27</v>
      </c>
      <c r="S30" s="87">
        <v>35</v>
      </c>
      <c r="T30" s="15"/>
      <c r="U30" s="75"/>
      <c r="V30" s="78"/>
    </row>
    <row r="31" spans="1:22" s="4" customFormat="1" ht="15.75">
      <c r="A31" s="26">
        <v>12</v>
      </c>
      <c r="B31" s="133" t="s">
        <v>28</v>
      </c>
      <c r="C31" s="27">
        <f>1573.495+18.796-6.545</f>
        <v>1585.7459999999999</v>
      </c>
      <c r="D31" s="34">
        <f>58+1-1</f>
        <v>58</v>
      </c>
      <c r="E31" s="27">
        <v>244.257</v>
      </c>
      <c r="F31" s="28">
        <v>6</v>
      </c>
      <c r="G31" s="27">
        <v>0</v>
      </c>
      <c r="H31" s="28">
        <v>0</v>
      </c>
      <c r="I31" s="27">
        <v>0</v>
      </c>
      <c r="J31" s="28">
        <v>0</v>
      </c>
      <c r="K31" s="27">
        <v>0</v>
      </c>
      <c r="L31" s="92">
        <v>0</v>
      </c>
      <c r="M31" s="138">
        <v>1080.112</v>
      </c>
      <c r="N31" s="111">
        <v>33</v>
      </c>
      <c r="O31" s="100">
        <f>87.547+18.796</f>
        <v>106.34299999999999</v>
      </c>
      <c r="P31" s="28">
        <v>5</v>
      </c>
      <c r="Q31" s="27">
        <f>161.579-6.545</f>
        <v>155.03400000000002</v>
      </c>
      <c r="R31" s="28">
        <f>14-1</f>
        <v>13</v>
      </c>
      <c r="S31" s="82"/>
      <c r="T31" s="15"/>
      <c r="U31" s="75"/>
      <c r="V31" s="75"/>
    </row>
    <row r="32" spans="1:22" s="4" customFormat="1" ht="15.75">
      <c r="A32" s="26">
        <v>13</v>
      </c>
      <c r="B32" s="133" t="s">
        <v>29</v>
      </c>
      <c r="C32" s="27">
        <f>1743.063+14.879-28.54-6.78</f>
        <v>1722.622</v>
      </c>
      <c r="D32" s="34">
        <f>78+1-3</f>
        <v>76</v>
      </c>
      <c r="E32" s="27">
        <v>341.384</v>
      </c>
      <c r="F32" s="28">
        <v>7</v>
      </c>
      <c r="G32" s="27">
        <v>0</v>
      </c>
      <c r="H32" s="28">
        <v>0</v>
      </c>
      <c r="I32" s="27">
        <v>0</v>
      </c>
      <c r="J32" s="28">
        <v>0</v>
      </c>
      <c r="K32" s="27">
        <v>0</v>
      </c>
      <c r="L32" s="92">
        <v>0</v>
      </c>
      <c r="M32" s="138">
        <v>1126.591</v>
      </c>
      <c r="N32" s="111">
        <v>40</v>
      </c>
      <c r="O32" s="100">
        <f>66.98+14.879-28.54</f>
        <v>53.31900000000001</v>
      </c>
      <c r="P32" s="28">
        <f>5+1-2</f>
        <v>4</v>
      </c>
      <c r="Q32" s="27">
        <f>208.108-6.78</f>
        <v>201.328</v>
      </c>
      <c r="R32" s="28">
        <f>26-1</f>
        <v>25</v>
      </c>
      <c r="S32" s="82"/>
      <c r="T32" s="126"/>
      <c r="U32" s="78"/>
      <c r="V32" s="75"/>
    </row>
    <row r="33" spans="1:22" s="4" customFormat="1" ht="16.5" thickBot="1">
      <c r="A33" s="45">
        <v>14</v>
      </c>
      <c r="B33" s="135" t="s">
        <v>30</v>
      </c>
      <c r="C33" s="46">
        <f>658.813+18.048-7.576</f>
        <v>669.285</v>
      </c>
      <c r="D33" s="56">
        <f>29+1-1</f>
        <v>29</v>
      </c>
      <c r="E33" s="46">
        <v>94.223</v>
      </c>
      <c r="F33" s="47">
        <v>2</v>
      </c>
      <c r="G33" s="46">
        <v>0</v>
      </c>
      <c r="H33" s="47">
        <v>0</v>
      </c>
      <c r="I33" s="46">
        <v>0</v>
      </c>
      <c r="J33" s="47">
        <v>0</v>
      </c>
      <c r="K33" s="46">
        <v>0</v>
      </c>
      <c r="L33" s="93">
        <v>0</v>
      </c>
      <c r="M33" s="134">
        <v>432.066</v>
      </c>
      <c r="N33" s="113">
        <v>15</v>
      </c>
      <c r="O33" s="101">
        <f>41.521+18.048</f>
        <v>59.569</v>
      </c>
      <c r="P33" s="47">
        <v>2</v>
      </c>
      <c r="Q33" s="46">
        <f>91.003-7.576</f>
        <v>83.427</v>
      </c>
      <c r="R33" s="47">
        <f>10-1</f>
        <v>9</v>
      </c>
      <c r="S33" s="83"/>
      <c r="T33" s="15"/>
      <c r="U33" s="75"/>
      <c r="V33" s="75"/>
    </row>
    <row r="34" spans="1:22" s="4" customFormat="1" ht="16.5" thickBot="1">
      <c r="A34" s="60" t="s">
        <v>31</v>
      </c>
      <c r="B34" s="61"/>
      <c r="C34" s="53">
        <f>SUM(C20:C33)</f>
        <v>15922.604999999998</v>
      </c>
      <c r="D34" s="53">
        <f>SUM(D20:D33)</f>
        <v>595</v>
      </c>
      <c r="E34" s="53">
        <f>SUM(E20:E33)</f>
        <v>2341.007</v>
      </c>
      <c r="F34" s="53">
        <f>SUM(F20:F33)</f>
        <v>57</v>
      </c>
      <c r="G34" s="53">
        <f>SUM(G20:G33)</f>
        <v>0</v>
      </c>
      <c r="H34" s="54">
        <f>SUM(H20:H33)</f>
        <v>0</v>
      </c>
      <c r="I34" s="53">
        <f>SUM(I20:I33)</f>
        <v>0</v>
      </c>
      <c r="J34" s="54">
        <f>SUM(J20:J33)</f>
        <v>0</v>
      </c>
      <c r="K34" s="53">
        <f>SUM(K20:K33)</f>
        <v>0</v>
      </c>
      <c r="L34" s="71">
        <f>SUM(L20:L33)</f>
        <v>0</v>
      </c>
      <c r="M34" s="114">
        <f>SUM(M20:M33)</f>
        <v>10906.587000000001</v>
      </c>
      <c r="N34" s="84">
        <f>SUM(N20:N33)</f>
        <v>307</v>
      </c>
      <c r="O34" s="102">
        <f>SUM(O20:O33)</f>
        <v>908.6599999999997</v>
      </c>
      <c r="P34" s="54">
        <f>SUM(P20:P33)</f>
        <v>44</v>
      </c>
      <c r="Q34" s="54">
        <f>SUM(Q20:Q33)</f>
        <v>1766.4820000000002</v>
      </c>
      <c r="R34" s="54">
        <f>SUM(R20:R33)</f>
        <v>186</v>
      </c>
      <c r="S34" s="54">
        <f>SUM(S20:S33)</f>
        <v>58.275</v>
      </c>
      <c r="T34" s="15"/>
      <c r="U34" s="78"/>
      <c r="V34" s="75"/>
    </row>
    <row r="35" spans="1:22" s="4" customFormat="1" ht="16.5" thickBot="1">
      <c r="A35" s="60" t="s">
        <v>32</v>
      </c>
      <c r="B35" s="61"/>
      <c r="C35" s="53">
        <f>C34+C18+C7</f>
        <v>20996.624999999996</v>
      </c>
      <c r="D35" s="53">
        <f>D34+D18+D7</f>
        <v>789</v>
      </c>
      <c r="E35" s="53">
        <f>E34+E18+E7</f>
        <v>2855.846</v>
      </c>
      <c r="F35" s="53">
        <f>F34+F18+F7</f>
        <v>69</v>
      </c>
      <c r="G35" s="53">
        <f aca="true" t="shared" si="2" ref="G35:Q35">G7+G18+G34</f>
        <v>0</v>
      </c>
      <c r="H35" s="54">
        <f t="shared" si="2"/>
        <v>0</v>
      </c>
      <c r="I35" s="53">
        <f t="shared" si="2"/>
        <v>0</v>
      </c>
      <c r="J35" s="54">
        <f t="shared" si="2"/>
        <v>1</v>
      </c>
      <c r="K35" s="53">
        <f t="shared" si="2"/>
        <v>0</v>
      </c>
      <c r="L35" s="71">
        <f t="shared" si="2"/>
        <v>0</v>
      </c>
      <c r="M35" s="114">
        <f t="shared" si="2"/>
        <v>14678.071000000002</v>
      </c>
      <c r="N35" s="84">
        <f t="shared" si="2"/>
        <v>403</v>
      </c>
      <c r="O35" s="102">
        <f t="shared" si="2"/>
        <v>1059.9119999999998</v>
      </c>
      <c r="P35" s="54">
        <f t="shared" si="2"/>
        <v>50</v>
      </c>
      <c r="Q35" s="54">
        <f t="shared" si="2"/>
        <v>2384.702</v>
      </c>
      <c r="R35" s="54">
        <f>R7+R18+R34</f>
        <v>263</v>
      </c>
      <c r="S35" s="54">
        <f>S7+S18+S34</f>
        <v>69.807</v>
      </c>
      <c r="T35" s="15"/>
      <c r="U35" s="78"/>
      <c r="V35" s="75"/>
    </row>
    <row r="36" spans="1:22" s="4" customFormat="1" ht="15.75">
      <c r="A36" s="57"/>
      <c r="B36" s="58" t="s">
        <v>33</v>
      </c>
      <c r="C36" s="59"/>
      <c r="D36" s="49"/>
      <c r="E36" s="50"/>
      <c r="F36" s="49"/>
      <c r="G36" s="50"/>
      <c r="H36" s="51"/>
      <c r="I36" s="51"/>
      <c r="J36" s="52"/>
      <c r="K36" s="51"/>
      <c r="L36" s="94"/>
      <c r="M36" s="115"/>
      <c r="N36" s="116"/>
      <c r="O36" s="103"/>
      <c r="P36" s="52"/>
      <c r="Q36" s="51"/>
      <c r="R36" s="52"/>
      <c r="S36" s="85"/>
      <c r="T36" s="15"/>
      <c r="U36" s="75"/>
      <c r="V36" s="75"/>
    </row>
    <row r="37" spans="1:22" s="9" customFormat="1" ht="15.75">
      <c r="A37" s="35">
        <v>1</v>
      </c>
      <c r="B37" s="133" t="s">
        <v>34</v>
      </c>
      <c r="C37" s="30">
        <f>827.909-2.999-0.811</f>
        <v>824.0989999999999</v>
      </c>
      <c r="D37" s="31">
        <f>43-4</f>
        <v>39</v>
      </c>
      <c r="E37" s="30">
        <v>122.798</v>
      </c>
      <c r="F37" s="32">
        <v>4</v>
      </c>
      <c r="G37" s="30">
        <v>0</v>
      </c>
      <c r="H37" s="32">
        <v>0</v>
      </c>
      <c r="I37" s="30">
        <v>0</v>
      </c>
      <c r="J37" s="32">
        <v>0</v>
      </c>
      <c r="K37" s="30">
        <v>0</v>
      </c>
      <c r="L37" s="95">
        <v>0</v>
      </c>
      <c r="M37" s="117">
        <f>514.161-2.999</f>
        <v>511.1619999999999</v>
      </c>
      <c r="N37" s="118">
        <f>21-1</f>
        <v>20</v>
      </c>
      <c r="O37" s="104">
        <v>11.088</v>
      </c>
      <c r="P37" s="32">
        <v>1</v>
      </c>
      <c r="Q37" s="30">
        <f>179.862-0.811</f>
        <v>179.051</v>
      </c>
      <c r="R37" s="32">
        <f>17-3</f>
        <v>14</v>
      </c>
      <c r="S37" s="86"/>
      <c r="T37" s="15"/>
      <c r="U37" s="75"/>
      <c r="V37" s="75"/>
    </row>
    <row r="38" spans="1:22" s="4" customFormat="1" ht="15.75">
      <c r="A38" s="26">
        <v>2</v>
      </c>
      <c r="B38" s="133" t="s">
        <v>35</v>
      </c>
      <c r="C38" s="27">
        <v>708.424</v>
      </c>
      <c r="D38" s="34">
        <v>40</v>
      </c>
      <c r="E38" s="27">
        <v>74.601</v>
      </c>
      <c r="F38" s="28">
        <v>3</v>
      </c>
      <c r="G38" s="27">
        <v>0</v>
      </c>
      <c r="H38" s="28">
        <v>0</v>
      </c>
      <c r="I38" s="27">
        <v>0</v>
      </c>
      <c r="J38" s="28">
        <v>0</v>
      </c>
      <c r="K38" s="27">
        <v>0</v>
      </c>
      <c r="L38" s="92">
        <v>0</v>
      </c>
      <c r="M38" s="110">
        <v>461.274</v>
      </c>
      <c r="N38" s="111">
        <v>20</v>
      </c>
      <c r="O38" s="100">
        <v>62.948</v>
      </c>
      <c r="P38" s="28">
        <v>4</v>
      </c>
      <c r="Q38" s="27">
        <v>109.601</v>
      </c>
      <c r="R38" s="28">
        <v>13</v>
      </c>
      <c r="S38" s="82"/>
      <c r="T38" s="126"/>
      <c r="U38" s="75"/>
      <c r="V38" s="75"/>
    </row>
    <row r="39" spans="1:22" s="9" customFormat="1" ht="15.75">
      <c r="A39" s="35">
        <v>3</v>
      </c>
      <c r="B39" s="133" t="s">
        <v>36</v>
      </c>
      <c r="C39" s="30">
        <f>723.021-9.26-4.61-7.585</f>
        <v>701.5659999999999</v>
      </c>
      <c r="D39" s="31">
        <f>44-3</f>
        <v>41</v>
      </c>
      <c r="E39" s="30">
        <v>88.243</v>
      </c>
      <c r="F39" s="32">
        <v>3</v>
      </c>
      <c r="G39" s="30">
        <v>0</v>
      </c>
      <c r="H39" s="32">
        <v>0</v>
      </c>
      <c r="I39" s="30">
        <v>0</v>
      </c>
      <c r="J39" s="32">
        <v>0</v>
      </c>
      <c r="K39" s="30">
        <v>0</v>
      </c>
      <c r="L39" s="95">
        <v>0</v>
      </c>
      <c r="M39" s="117">
        <v>451.738</v>
      </c>
      <c r="N39" s="118">
        <v>19</v>
      </c>
      <c r="O39" s="104">
        <f>46.183-9.26</f>
        <v>36.923</v>
      </c>
      <c r="P39" s="32">
        <f>3-1</f>
        <v>2</v>
      </c>
      <c r="Q39" s="30">
        <f>136.857-4.61-7.585</f>
        <v>124.66199999999999</v>
      </c>
      <c r="R39" s="32">
        <f>19-2</f>
        <v>17</v>
      </c>
      <c r="S39" s="86"/>
      <c r="T39" s="15"/>
      <c r="U39" s="75"/>
      <c r="V39" s="75"/>
    </row>
    <row r="40" spans="1:22" s="9" customFormat="1" ht="16.5" thickBot="1">
      <c r="A40" s="62">
        <v>4</v>
      </c>
      <c r="B40" s="135" t="s">
        <v>37</v>
      </c>
      <c r="C40" s="63">
        <f>294.699+92.887-13.135</f>
        <v>374.451</v>
      </c>
      <c r="D40" s="64">
        <f>17+5-2</f>
        <v>20</v>
      </c>
      <c r="E40" s="63">
        <f>55.579-8.95</f>
        <v>46.629000000000005</v>
      </c>
      <c r="F40" s="65">
        <f>2-1</f>
        <v>1</v>
      </c>
      <c r="G40" s="63">
        <v>0</v>
      </c>
      <c r="H40" s="65">
        <v>0</v>
      </c>
      <c r="I40" s="63">
        <v>0</v>
      </c>
      <c r="J40" s="65">
        <v>0</v>
      </c>
      <c r="K40" s="63">
        <v>0</v>
      </c>
      <c r="L40" s="97">
        <v>0</v>
      </c>
      <c r="M40" s="121">
        <v>57.471</v>
      </c>
      <c r="N40" s="122">
        <v>2</v>
      </c>
      <c r="O40" s="106">
        <f>97.174+83.463-4.185</f>
        <v>176.452</v>
      </c>
      <c r="P40" s="65">
        <f>5+4-1</f>
        <v>8</v>
      </c>
      <c r="Q40" s="63">
        <f>84.475+9.424</f>
        <v>93.899</v>
      </c>
      <c r="R40" s="65">
        <f>8+1</f>
        <v>9</v>
      </c>
      <c r="S40" s="89">
        <v>9.879</v>
      </c>
      <c r="T40" s="15"/>
      <c r="U40" s="75"/>
      <c r="V40" s="75"/>
    </row>
    <row r="41" spans="1:22" s="4" customFormat="1" ht="16.5" thickBot="1">
      <c r="A41" s="60" t="s">
        <v>38</v>
      </c>
      <c r="B41" s="61"/>
      <c r="C41" s="53">
        <f>SUM(C37:C40)</f>
        <v>2608.54</v>
      </c>
      <c r="D41" s="53">
        <f>SUM(D37:D40)</f>
        <v>140</v>
      </c>
      <c r="E41" s="53">
        <f>SUM(E37:E40)</f>
        <v>332.271</v>
      </c>
      <c r="F41" s="53">
        <f>SUM(F37:F40)</f>
        <v>11</v>
      </c>
      <c r="G41" s="53">
        <f>SUM(G37:G40)</f>
        <v>0</v>
      </c>
      <c r="H41" s="54">
        <f>SUM(H37:H40)</f>
        <v>0</v>
      </c>
      <c r="I41" s="53">
        <f>SUM(I37:I40)</f>
        <v>0</v>
      </c>
      <c r="J41" s="54">
        <f>SUM(J37:J40)</f>
        <v>0</v>
      </c>
      <c r="K41" s="53">
        <f>SUM(K37:K40)</f>
        <v>0</v>
      </c>
      <c r="L41" s="71">
        <f>SUM(L37:L40)</f>
        <v>0</v>
      </c>
      <c r="M41" s="114">
        <f aca="true" t="shared" si="3" ref="M41:S41">SUM(M37:M40)</f>
        <v>1481.645</v>
      </c>
      <c r="N41" s="84">
        <f t="shared" si="3"/>
        <v>61</v>
      </c>
      <c r="O41" s="102">
        <f t="shared" si="3"/>
        <v>287.411</v>
      </c>
      <c r="P41" s="54">
        <f t="shared" si="3"/>
        <v>15</v>
      </c>
      <c r="Q41" s="54">
        <f t="shared" si="3"/>
        <v>507.21299999999997</v>
      </c>
      <c r="R41" s="54">
        <f t="shared" si="3"/>
        <v>53</v>
      </c>
      <c r="S41" s="84">
        <f t="shared" si="3"/>
        <v>9.879</v>
      </c>
      <c r="T41" s="15"/>
      <c r="U41" s="78"/>
      <c r="V41" s="75"/>
    </row>
    <row r="42" spans="1:22" s="4" customFormat="1" ht="15.75">
      <c r="A42" s="57"/>
      <c r="B42" s="58" t="s">
        <v>39</v>
      </c>
      <c r="C42" s="59"/>
      <c r="D42" s="49"/>
      <c r="E42" s="50"/>
      <c r="F42" s="49"/>
      <c r="G42" s="50"/>
      <c r="H42" s="51"/>
      <c r="I42" s="51"/>
      <c r="J42" s="52"/>
      <c r="K42" s="51"/>
      <c r="L42" s="94"/>
      <c r="M42" s="115"/>
      <c r="N42" s="116"/>
      <c r="O42" s="103"/>
      <c r="P42" s="52"/>
      <c r="Q42" s="51"/>
      <c r="R42" s="52"/>
      <c r="S42" s="85"/>
      <c r="T42" s="15"/>
      <c r="U42" s="75"/>
      <c r="V42" s="75"/>
    </row>
    <row r="43" spans="1:22" s="4" customFormat="1" ht="15.75">
      <c r="A43" s="26">
        <v>1</v>
      </c>
      <c r="B43" s="133" t="s">
        <v>40</v>
      </c>
      <c r="C43" s="27">
        <f>1559.438+11.173-5.224-1.91-11.829</f>
        <v>1551.6480000000001</v>
      </c>
      <c r="D43" s="34">
        <f>76+1-3</f>
        <v>74</v>
      </c>
      <c r="E43" s="27">
        <v>183.223</v>
      </c>
      <c r="F43" s="28">
        <v>6</v>
      </c>
      <c r="G43" s="27">
        <v>0</v>
      </c>
      <c r="H43" s="28">
        <v>0</v>
      </c>
      <c r="I43" s="27">
        <v>0</v>
      </c>
      <c r="J43" s="28">
        <v>0</v>
      </c>
      <c r="K43" s="27">
        <v>0</v>
      </c>
      <c r="L43" s="92">
        <v>0</v>
      </c>
      <c r="M43" s="110">
        <v>978.807</v>
      </c>
      <c r="N43" s="111">
        <v>37</v>
      </c>
      <c r="O43" s="100">
        <f>158.681-5.224-1.91</f>
        <v>151.54700000000003</v>
      </c>
      <c r="P43" s="28">
        <f>8-2</f>
        <v>6</v>
      </c>
      <c r="Q43" s="27">
        <v>238.727</v>
      </c>
      <c r="R43" s="28">
        <v>25</v>
      </c>
      <c r="S43" s="82"/>
      <c r="T43" s="15"/>
      <c r="U43" s="75"/>
      <c r="V43" s="78"/>
    </row>
    <row r="44" spans="1:22" s="4" customFormat="1" ht="15.75">
      <c r="A44" s="26">
        <v>2</v>
      </c>
      <c r="B44" s="133" t="s">
        <v>41</v>
      </c>
      <c r="C44" s="27">
        <f>1044.618-6.175</f>
        <v>1038.443</v>
      </c>
      <c r="D44" s="34">
        <f>53-1</f>
        <v>52</v>
      </c>
      <c r="E44" s="27">
        <v>170.567</v>
      </c>
      <c r="F44" s="28">
        <v>5</v>
      </c>
      <c r="G44" s="27">
        <v>0</v>
      </c>
      <c r="H44" s="28">
        <v>0</v>
      </c>
      <c r="I44" s="27">
        <v>0</v>
      </c>
      <c r="J44" s="28">
        <v>0</v>
      </c>
      <c r="K44" s="27">
        <v>0</v>
      </c>
      <c r="L44" s="92">
        <v>0</v>
      </c>
      <c r="M44" s="110">
        <v>643.075</v>
      </c>
      <c r="N44" s="111">
        <v>26</v>
      </c>
      <c r="O44" s="100">
        <v>59.656</v>
      </c>
      <c r="P44" s="28">
        <v>3</v>
      </c>
      <c r="Q44" s="27">
        <v>171.32</v>
      </c>
      <c r="R44" s="28">
        <v>19</v>
      </c>
      <c r="S44" s="82">
        <v>5</v>
      </c>
      <c r="T44" s="15"/>
      <c r="U44" s="75"/>
      <c r="V44" s="78"/>
    </row>
    <row r="45" spans="1:22" s="8" customFormat="1" ht="15.75">
      <c r="A45" s="36">
        <v>3</v>
      </c>
      <c r="B45" s="37" t="s">
        <v>42</v>
      </c>
      <c r="C45" s="38">
        <f>1172.048+59.005-183.545-6.515</f>
        <v>1040.993</v>
      </c>
      <c r="D45" s="39">
        <f>61+4-10-1</f>
        <v>54</v>
      </c>
      <c r="E45" s="38">
        <v>211.318</v>
      </c>
      <c r="F45" s="40">
        <v>6</v>
      </c>
      <c r="G45" s="38">
        <v>0</v>
      </c>
      <c r="H45" s="40">
        <v>0</v>
      </c>
      <c r="I45" s="38">
        <v>0</v>
      </c>
      <c r="J45" s="40">
        <v>0</v>
      </c>
      <c r="K45" s="38">
        <v>0</v>
      </c>
      <c r="L45" s="96">
        <v>0</v>
      </c>
      <c r="M45" s="119">
        <v>597.209</v>
      </c>
      <c r="N45" s="120">
        <v>25</v>
      </c>
      <c r="O45" s="105">
        <f>124.493+12.002-6.515</f>
        <v>129.98000000000002</v>
      </c>
      <c r="P45" s="40">
        <f>8+1-1</f>
        <v>8</v>
      </c>
      <c r="Q45" s="38">
        <f>239.028+47.003</f>
        <v>286.031</v>
      </c>
      <c r="R45" s="40">
        <f>22+3</f>
        <v>25</v>
      </c>
      <c r="S45" s="87"/>
      <c r="T45" s="15"/>
      <c r="U45" s="75"/>
      <c r="V45" s="75"/>
    </row>
    <row r="46" spans="1:22" s="9" customFormat="1" ht="15.75">
      <c r="A46" s="35">
        <v>4</v>
      </c>
      <c r="B46" s="133" t="s">
        <v>43</v>
      </c>
      <c r="C46" s="30">
        <f>1593.844+14.502</f>
        <v>1608.346</v>
      </c>
      <c r="D46" s="31">
        <f>83+1</f>
        <v>84</v>
      </c>
      <c r="E46" s="30">
        <v>193.467</v>
      </c>
      <c r="F46" s="32">
        <v>6</v>
      </c>
      <c r="G46" s="30">
        <v>0</v>
      </c>
      <c r="H46" s="32">
        <v>0</v>
      </c>
      <c r="I46" s="30">
        <v>0</v>
      </c>
      <c r="J46" s="32">
        <v>0</v>
      </c>
      <c r="K46" s="30">
        <v>0</v>
      </c>
      <c r="L46" s="95">
        <v>0</v>
      </c>
      <c r="M46" s="117">
        <v>1056.846</v>
      </c>
      <c r="N46" s="118">
        <v>43</v>
      </c>
      <c r="O46" s="104">
        <f>107.879+14.502</f>
        <v>122.381</v>
      </c>
      <c r="P46" s="32">
        <f>6+1</f>
        <v>7</v>
      </c>
      <c r="Q46" s="30">
        <v>235.652</v>
      </c>
      <c r="R46" s="32">
        <v>28</v>
      </c>
      <c r="S46" s="86">
        <v>33</v>
      </c>
      <c r="T46" s="15"/>
      <c r="U46" s="75"/>
      <c r="V46" s="75"/>
    </row>
    <row r="47" spans="1:22" s="4" customFormat="1" ht="15.75">
      <c r="A47" s="26">
        <v>5</v>
      </c>
      <c r="B47" s="133" t="s">
        <v>44</v>
      </c>
      <c r="C47" s="27">
        <f>1370.115-15.797</f>
        <v>1354.318</v>
      </c>
      <c r="D47" s="34">
        <f>67-2</f>
        <v>65</v>
      </c>
      <c r="E47" s="27">
        <v>160.804</v>
      </c>
      <c r="F47" s="28">
        <v>5</v>
      </c>
      <c r="G47" s="27">
        <v>0</v>
      </c>
      <c r="H47" s="28">
        <v>0</v>
      </c>
      <c r="I47" s="27">
        <v>0</v>
      </c>
      <c r="J47" s="28">
        <v>0</v>
      </c>
      <c r="K47" s="27">
        <v>0</v>
      </c>
      <c r="L47" s="92">
        <v>0</v>
      </c>
      <c r="M47" s="110">
        <v>858.518</v>
      </c>
      <c r="N47" s="111">
        <v>32</v>
      </c>
      <c r="O47" s="100">
        <v>98.77</v>
      </c>
      <c r="P47" s="28">
        <v>4</v>
      </c>
      <c r="Q47" s="27">
        <f>252.023-15.797</f>
        <v>236.226</v>
      </c>
      <c r="R47" s="28">
        <f>26-2</f>
        <v>24</v>
      </c>
      <c r="S47" s="82">
        <v>7</v>
      </c>
      <c r="T47" s="15"/>
      <c r="U47" s="75"/>
      <c r="V47" s="75"/>
    </row>
    <row r="48" spans="1:22" s="153" customFormat="1" ht="15.75">
      <c r="A48" s="141">
        <v>6</v>
      </c>
      <c r="B48" s="142" t="s">
        <v>45</v>
      </c>
      <c r="C48" s="143"/>
      <c r="D48" s="144"/>
      <c r="E48" s="143"/>
      <c r="F48" s="145"/>
      <c r="G48" s="143"/>
      <c r="H48" s="145"/>
      <c r="I48" s="143"/>
      <c r="J48" s="145"/>
      <c r="K48" s="143"/>
      <c r="L48" s="146"/>
      <c r="M48" s="147"/>
      <c r="N48" s="148"/>
      <c r="O48" s="149"/>
      <c r="P48" s="145"/>
      <c r="Q48" s="143"/>
      <c r="R48" s="145"/>
      <c r="S48" s="150"/>
      <c r="T48" s="151"/>
      <c r="U48" s="152"/>
      <c r="V48" s="152"/>
    </row>
    <row r="49" spans="1:22" s="9" customFormat="1" ht="15.75">
      <c r="A49" s="35">
        <v>7</v>
      </c>
      <c r="B49" s="133" t="s">
        <v>46</v>
      </c>
      <c r="C49" s="30">
        <f>1325.97-153.147-124.864-31.789-4.631</f>
        <v>1011.5390000000001</v>
      </c>
      <c r="D49" s="31">
        <f>57-9</f>
        <v>48</v>
      </c>
      <c r="E49" s="30">
        <v>261.49</v>
      </c>
      <c r="F49" s="32">
        <v>6</v>
      </c>
      <c r="G49" s="30">
        <v>0</v>
      </c>
      <c r="H49" s="32">
        <v>0</v>
      </c>
      <c r="I49" s="30">
        <v>0</v>
      </c>
      <c r="J49" s="32">
        <v>0</v>
      </c>
      <c r="K49" s="30">
        <v>0</v>
      </c>
      <c r="L49" s="95">
        <v>0</v>
      </c>
      <c r="M49" s="117">
        <f>724.494-15.147</f>
        <v>709.347</v>
      </c>
      <c r="N49" s="118">
        <f>26-3</f>
        <v>23</v>
      </c>
      <c r="O49" s="104">
        <f>154.981-124.864</f>
        <v>30.11699999999999</v>
      </c>
      <c r="P49" s="32">
        <f>5-3</f>
        <v>2</v>
      </c>
      <c r="Q49" s="30">
        <f>185.005-3.789-4.631</f>
        <v>176.585</v>
      </c>
      <c r="R49" s="32">
        <f>20-3</f>
        <v>17</v>
      </c>
      <c r="S49" s="86"/>
      <c r="T49" s="15"/>
      <c r="U49" s="75"/>
      <c r="V49" s="75"/>
    </row>
    <row r="50" spans="1:22" s="9" customFormat="1" ht="15.75">
      <c r="A50" s="35">
        <v>8</v>
      </c>
      <c r="B50" s="133" t="s">
        <v>47</v>
      </c>
      <c r="C50" s="30">
        <f>1936.371-9.924-7.499-13.62</f>
        <v>1905.3280000000002</v>
      </c>
      <c r="D50" s="31">
        <f>83-5</f>
        <v>78</v>
      </c>
      <c r="E50" s="30">
        <v>236.708</v>
      </c>
      <c r="F50" s="32">
        <v>6</v>
      </c>
      <c r="G50" s="30">
        <v>0</v>
      </c>
      <c r="H50" s="32">
        <v>0</v>
      </c>
      <c r="I50" s="30">
        <v>0</v>
      </c>
      <c r="J50" s="32">
        <v>0</v>
      </c>
      <c r="K50" s="30">
        <v>0</v>
      </c>
      <c r="L50" s="95">
        <v>0</v>
      </c>
      <c r="M50" s="117">
        <f>1250.38-9.924</f>
        <v>1240.4560000000001</v>
      </c>
      <c r="N50" s="118">
        <f>43-1</f>
        <v>42</v>
      </c>
      <c r="O50" s="104">
        <f>162.97-7.499</f>
        <v>155.471</v>
      </c>
      <c r="P50" s="32">
        <f>8-2</f>
        <v>6</v>
      </c>
      <c r="Q50" s="30">
        <f>286.313-13.62</f>
        <v>272.693</v>
      </c>
      <c r="R50" s="32">
        <f>26-2</f>
        <v>24</v>
      </c>
      <c r="S50" s="86">
        <v>8</v>
      </c>
      <c r="T50" s="15"/>
      <c r="U50" s="75"/>
      <c r="V50" s="75"/>
    </row>
    <row r="51" spans="1:22" s="4" customFormat="1" ht="16.5" thickBot="1">
      <c r="A51" s="45">
        <v>9</v>
      </c>
      <c r="B51" s="135" t="s">
        <v>48</v>
      </c>
      <c r="C51" s="46">
        <f>1244.758+14.3</f>
        <v>1259.058</v>
      </c>
      <c r="D51" s="56">
        <f>62+1</f>
        <v>63</v>
      </c>
      <c r="E51" s="46">
        <v>198.023</v>
      </c>
      <c r="F51" s="47">
        <v>6</v>
      </c>
      <c r="G51" s="46">
        <v>0</v>
      </c>
      <c r="H51" s="47">
        <v>0</v>
      </c>
      <c r="I51" s="46">
        <v>0</v>
      </c>
      <c r="J51" s="47">
        <v>0</v>
      </c>
      <c r="K51" s="46">
        <v>0</v>
      </c>
      <c r="L51" s="93">
        <v>0</v>
      </c>
      <c r="M51" s="112">
        <v>773.773</v>
      </c>
      <c r="N51" s="113">
        <v>33</v>
      </c>
      <c r="O51" s="101">
        <f>104.096+14.3</f>
        <v>118.396</v>
      </c>
      <c r="P51" s="47">
        <f>6+1</f>
        <v>7</v>
      </c>
      <c r="Q51" s="46">
        <v>168.866</v>
      </c>
      <c r="R51" s="47">
        <v>17</v>
      </c>
      <c r="S51" s="83">
        <v>9.714</v>
      </c>
      <c r="T51" s="15"/>
      <c r="U51" s="75"/>
      <c r="V51" s="78"/>
    </row>
    <row r="52" spans="1:22" s="4" customFormat="1" ht="16.5" thickBot="1">
      <c r="A52" s="60" t="s">
        <v>49</v>
      </c>
      <c r="B52" s="61"/>
      <c r="C52" s="53">
        <f>SUM(C43:C51)</f>
        <v>10769.672999999999</v>
      </c>
      <c r="D52" s="53">
        <f>SUM(D43:D51)</f>
        <v>518</v>
      </c>
      <c r="E52" s="53">
        <f>SUM(E43:E51)</f>
        <v>1615.6000000000001</v>
      </c>
      <c r="F52" s="53">
        <f>SUM(F43:F51)</f>
        <v>46</v>
      </c>
      <c r="G52" s="53">
        <f aca="true" t="shared" si="4" ref="G52:S52">SUM(G43:G51)</f>
        <v>0</v>
      </c>
      <c r="H52" s="54">
        <f t="shared" si="4"/>
        <v>0</v>
      </c>
      <c r="I52" s="53">
        <f t="shared" si="4"/>
        <v>0</v>
      </c>
      <c r="J52" s="54">
        <f t="shared" si="4"/>
        <v>0</v>
      </c>
      <c r="K52" s="53">
        <f t="shared" si="4"/>
        <v>0</v>
      </c>
      <c r="L52" s="71">
        <f t="shared" si="4"/>
        <v>0</v>
      </c>
      <c r="M52" s="114">
        <f>SUM(M43:M51)</f>
        <v>6858.031</v>
      </c>
      <c r="N52" s="84">
        <f t="shared" si="4"/>
        <v>261</v>
      </c>
      <c r="O52" s="102">
        <f t="shared" si="4"/>
        <v>866.318</v>
      </c>
      <c r="P52" s="54">
        <f t="shared" si="4"/>
        <v>43</v>
      </c>
      <c r="Q52" s="54">
        <f t="shared" si="4"/>
        <v>1786.1000000000001</v>
      </c>
      <c r="R52" s="54">
        <f t="shared" si="4"/>
        <v>179</v>
      </c>
      <c r="S52" s="84">
        <f t="shared" si="4"/>
        <v>62.714</v>
      </c>
      <c r="T52" s="15"/>
      <c r="U52" s="78"/>
      <c r="V52" s="75"/>
    </row>
    <row r="53" spans="1:22" s="4" customFormat="1" ht="16.5" thickBot="1">
      <c r="A53" s="60" t="s">
        <v>50</v>
      </c>
      <c r="B53" s="61"/>
      <c r="C53" s="53">
        <f>C41+C52</f>
        <v>13378.213</v>
      </c>
      <c r="D53" s="53">
        <f aca="true" t="shared" si="5" ref="D53:S53">D41+D52</f>
        <v>658</v>
      </c>
      <c r="E53" s="53">
        <f t="shared" si="5"/>
        <v>1947.871</v>
      </c>
      <c r="F53" s="53">
        <f t="shared" si="5"/>
        <v>57</v>
      </c>
      <c r="G53" s="53">
        <f t="shared" si="5"/>
        <v>0</v>
      </c>
      <c r="H53" s="53">
        <f t="shared" si="5"/>
        <v>0</v>
      </c>
      <c r="I53" s="53">
        <f t="shared" si="5"/>
        <v>0</v>
      </c>
      <c r="J53" s="53">
        <f t="shared" si="5"/>
        <v>0</v>
      </c>
      <c r="K53" s="53">
        <f t="shared" si="5"/>
        <v>0</v>
      </c>
      <c r="L53" s="72">
        <f t="shared" si="5"/>
        <v>0</v>
      </c>
      <c r="M53" s="123">
        <f t="shared" si="5"/>
        <v>8339.676</v>
      </c>
      <c r="N53" s="88">
        <f t="shared" si="5"/>
        <v>322</v>
      </c>
      <c r="O53" s="107">
        <f t="shared" si="5"/>
        <v>1153.729</v>
      </c>
      <c r="P53" s="53">
        <f t="shared" si="5"/>
        <v>58</v>
      </c>
      <c r="Q53" s="53">
        <f t="shared" si="5"/>
        <v>2293.313</v>
      </c>
      <c r="R53" s="53">
        <f t="shared" si="5"/>
        <v>232</v>
      </c>
      <c r="S53" s="88">
        <f t="shared" si="5"/>
        <v>72.593</v>
      </c>
      <c r="T53" s="15"/>
      <c r="U53" s="78"/>
      <c r="V53" s="75"/>
    </row>
    <row r="54" spans="1:22" s="7" customFormat="1" ht="16.5" thickBot="1">
      <c r="A54" s="66"/>
      <c r="B54" s="67" t="s">
        <v>51</v>
      </c>
      <c r="C54" s="68">
        <v>0</v>
      </c>
      <c r="D54" s="69">
        <v>0</v>
      </c>
      <c r="E54" s="68"/>
      <c r="F54" s="69"/>
      <c r="G54" s="68">
        <v>0</v>
      </c>
      <c r="H54" s="69">
        <v>0</v>
      </c>
      <c r="I54" s="68">
        <v>0</v>
      </c>
      <c r="J54" s="69">
        <v>0</v>
      </c>
      <c r="K54" s="68">
        <v>0</v>
      </c>
      <c r="L54" s="98">
        <v>0</v>
      </c>
      <c r="M54" s="124"/>
      <c r="N54" s="125"/>
      <c r="O54" s="108"/>
      <c r="P54" s="69"/>
      <c r="Q54" s="68"/>
      <c r="R54" s="69"/>
      <c r="S54" s="90"/>
      <c r="T54" s="151"/>
      <c r="U54" s="152"/>
      <c r="V54" s="152"/>
    </row>
    <row r="55" spans="1:22" s="4" customFormat="1" ht="16.5" thickBot="1">
      <c r="A55" s="158" t="s">
        <v>52</v>
      </c>
      <c r="B55" s="159"/>
      <c r="C55" s="53">
        <f>C35+C53+C54</f>
        <v>34374.837999999996</v>
      </c>
      <c r="D55" s="53">
        <f aca="true" t="shared" si="6" ref="D55:S55">D35+D53+D54</f>
        <v>1447</v>
      </c>
      <c r="E55" s="53">
        <f t="shared" si="6"/>
        <v>4803.717000000001</v>
      </c>
      <c r="F55" s="53">
        <f t="shared" si="6"/>
        <v>126</v>
      </c>
      <c r="G55" s="53">
        <f t="shared" si="6"/>
        <v>0</v>
      </c>
      <c r="H55" s="53">
        <f t="shared" si="6"/>
        <v>0</v>
      </c>
      <c r="I55" s="53">
        <f t="shared" si="6"/>
        <v>0</v>
      </c>
      <c r="J55" s="53">
        <f t="shared" si="6"/>
        <v>1</v>
      </c>
      <c r="K55" s="53">
        <f t="shared" si="6"/>
        <v>0</v>
      </c>
      <c r="L55" s="72">
        <f t="shared" si="6"/>
        <v>0</v>
      </c>
      <c r="M55" s="123">
        <f t="shared" si="6"/>
        <v>23017.747000000003</v>
      </c>
      <c r="N55" s="88">
        <f t="shared" si="6"/>
        <v>725</v>
      </c>
      <c r="O55" s="107">
        <f t="shared" si="6"/>
        <v>2213.6409999999996</v>
      </c>
      <c r="P55" s="53">
        <f t="shared" si="6"/>
        <v>108</v>
      </c>
      <c r="Q55" s="53">
        <f t="shared" si="6"/>
        <v>4678.015</v>
      </c>
      <c r="R55" s="53">
        <f>R35+R53+R54</f>
        <v>495</v>
      </c>
      <c r="S55" s="88">
        <f t="shared" si="6"/>
        <v>142.4</v>
      </c>
      <c r="T55" s="80"/>
      <c r="U55" s="78"/>
      <c r="V55" s="75"/>
    </row>
    <row r="56" spans="1:20" ht="15.75">
      <c r="A56" s="41"/>
      <c r="B56" s="15"/>
      <c r="C56" s="15"/>
      <c r="D56" s="42"/>
      <c r="E56" s="43"/>
      <c r="F56" s="41"/>
      <c r="G56" s="41"/>
      <c r="H56" s="15"/>
      <c r="I56" s="15"/>
      <c r="J56" s="15"/>
      <c r="K56" s="15"/>
      <c r="L56" s="16"/>
      <c r="M56" s="16"/>
      <c r="N56" s="16"/>
      <c r="O56" s="16"/>
      <c r="P56" s="16"/>
      <c r="Q56" s="16"/>
      <c r="R56" s="16"/>
      <c r="S56" s="16"/>
      <c r="T56" s="16"/>
    </row>
    <row r="57" spans="1:20" ht="15.75">
      <c r="A57" s="41"/>
      <c r="B57" s="44" t="s">
        <v>71</v>
      </c>
      <c r="C57" s="44"/>
      <c r="D57" s="42"/>
      <c r="E57" s="43"/>
      <c r="F57" s="41"/>
      <c r="G57" s="41"/>
      <c r="H57" s="15"/>
      <c r="I57" s="15"/>
      <c r="J57" s="15"/>
      <c r="K57" s="15"/>
      <c r="L57" s="16"/>
      <c r="M57" s="161"/>
      <c r="N57" s="161"/>
      <c r="O57" s="16"/>
      <c r="P57" s="16"/>
      <c r="Q57" s="16"/>
      <c r="R57" s="16"/>
      <c r="S57" s="16"/>
      <c r="T57" s="16"/>
    </row>
    <row r="58" spans="1:20" ht="15.75">
      <c r="A58" s="41"/>
      <c r="B58" s="15"/>
      <c r="C58" s="15"/>
      <c r="D58" s="42"/>
      <c r="E58" s="43"/>
      <c r="F58" s="41"/>
      <c r="G58" s="41"/>
      <c r="H58" s="15"/>
      <c r="I58" s="15"/>
      <c r="J58" s="15"/>
      <c r="K58" s="15"/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15.75">
      <c r="A59" s="41"/>
      <c r="B59" s="15"/>
      <c r="C59" s="15"/>
      <c r="D59" s="42"/>
      <c r="E59" s="43"/>
      <c r="F59" s="41"/>
      <c r="G59" s="41"/>
      <c r="H59" s="15"/>
      <c r="I59" s="15"/>
      <c r="J59" s="15"/>
      <c r="K59" s="15"/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15.75">
      <c r="A60" s="41"/>
      <c r="B60" s="15"/>
      <c r="C60" s="15"/>
      <c r="D60" s="42"/>
      <c r="E60" s="43"/>
      <c r="F60" s="41"/>
      <c r="G60" s="41"/>
      <c r="H60" s="15"/>
      <c r="I60" s="15"/>
      <c r="J60" s="15"/>
      <c r="K60" s="15"/>
      <c r="L60" s="16"/>
      <c r="M60" s="16"/>
      <c r="N60" s="16"/>
      <c r="O60" s="16"/>
      <c r="P60" s="16"/>
      <c r="Q60" s="16"/>
      <c r="R60" s="16"/>
      <c r="S60" s="16"/>
      <c r="T60" s="16"/>
    </row>
    <row r="61" spans="1:20" ht="15.75">
      <c r="A61" s="41"/>
      <c r="B61" s="15"/>
      <c r="C61" s="15"/>
      <c r="D61" s="42"/>
      <c r="E61" s="43"/>
      <c r="F61" s="41"/>
      <c r="G61" s="41"/>
      <c r="H61" s="15"/>
      <c r="I61" s="15"/>
      <c r="J61" s="15"/>
      <c r="K61" s="15"/>
      <c r="L61" s="16"/>
      <c r="M61" s="16"/>
      <c r="N61" s="16"/>
      <c r="O61" s="16"/>
      <c r="P61" s="16"/>
      <c r="Q61" s="16"/>
      <c r="R61" s="16"/>
      <c r="S61" s="16"/>
      <c r="T61" s="16"/>
    </row>
    <row r="62" spans="1:20" ht="15.75">
      <c r="A62" s="41"/>
      <c r="B62" s="15"/>
      <c r="C62" s="15"/>
      <c r="D62" s="42"/>
      <c r="E62" s="43"/>
      <c r="F62" s="41"/>
      <c r="G62" s="41"/>
      <c r="H62" s="15"/>
      <c r="I62" s="15"/>
      <c r="J62" s="15"/>
      <c r="K62" s="15"/>
      <c r="L62" s="16"/>
      <c r="M62" s="16"/>
      <c r="N62" s="16"/>
      <c r="O62" s="16"/>
      <c r="P62" s="16"/>
      <c r="Q62" s="16"/>
      <c r="R62" s="16"/>
      <c r="S62" s="16"/>
      <c r="T62" s="16"/>
    </row>
    <row r="63" spans="1:20" ht="15.75">
      <c r="A63" s="41"/>
      <c r="B63" s="15"/>
      <c r="C63" s="15"/>
      <c r="D63" s="42"/>
      <c r="E63" s="43"/>
      <c r="F63" s="41"/>
      <c r="G63" s="41"/>
      <c r="H63" s="15"/>
      <c r="I63" s="15"/>
      <c r="J63" s="15"/>
      <c r="K63" s="15"/>
      <c r="L63" s="16"/>
      <c r="M63" s="16"/>
      <c r="N63" s="16"/>
      <c r="O63" s="16"/>
      <c r="P63" s="16"/>
      <c r="Q63" s="16"/>
      <c r="R63" s="16"/>
      <c r="S63" s="16"/>
      <c r="T63" s="16"/>
    </row>
    <row r="64" spans="1:20" ht="15.75">
      <c r="A64" s="41"/>
      <c r="B64" s="15"/>
      <c r="C64" s="15"/>
      <c r="D64" s="42"/>
      <c r="E64" s="43"/>
      <c r="F64" s="41"/>
      <c r="G64" s="41"/>
      <c r="H64" s="15"/>
      <c r="I64" s="15"/>
      <c r="J64" s="15"/>
      <c r="K64" s="15"/>
      <c r="L64" s="16"/>
      <c r="M64" s="16"/>
      <c r="N64" s="16"/>
      <c r="O64" s="16"/>
      <c r="P64" s="16"/>
      <c r="Q64" s="16"/>
      <c r="R64" s="16"/>
      <c r="S64" s="16"/>
      <c r="T64" s="16"/>
    </row>
    <row r="65" spans="1:20" ht="15.75">
      <c r="A65" s="41"/>
      <c r="B65" s="15"/>
      <c r="C65" s="15"/>
      <c r="D65" s="42"/>
      <c r="E65" s="43"/>
      <c r="F65" s="41"/>
      <c r="G65" s="41"/>
      <c r="H65" s="15"/>
      <c r="I65" s="15"/>
      <c r="J65" s="15"/>
      <c r="K65" s="15"/>
      <c r="L65" s="16"/>
      <c r="M65" s="16"/>
      <c r="N65" s="16"/>
      <c r="O65" s="16"/>
      <c r="P65" s="16"/>
      <c r="Q65" s="16"/>
      <c r="R65" s="16"/>
      <c r="S65" s="16"/>
      <c r="T65" s="16"/>
    </row>
    <row r="66" spans="1:20" ht="15.75">
      <c r="A66" s="41"/>
      <c r="B66" s="15"/>
      <c r="C66" s="15"/>
      <c r="D66" s="42"/>
      <c r="E66" s="43"/>
      <c r="F66" s="41"/>
      <c r="G66" s="41"/>
      <c r="H66" s="15"/>
      <c r="I66" s="15"/>
      <c r="J66" s="15"/>
      <c r="K66" s="15"/>
      <c r="L66" s="16"/>
      <c r="M66" s="16"/>
      <c r="N66" s="16"/>
      <c r="O66" s="16"/>
      <c r="P66" s="16"/>
      <c r="Q66" s="16"/>
      <c r="R66" s="16"/>
      <c r="S66" s="16"/>
      <c r="T66" s="16"/>
    </row>
    <row r="67" spans="1:20" ht="15.75">
      <c r="A67" s="41"/>
      <c r="B67" s="15"/>
      <c r="C67" s="15"/>
      <c r="D67" s="42"/>
      <c r="E67" s="43"/>
      <c r="F67" s="41"/>
      <c r="G67" s="41"/>
      <c r="H67" s="15"/>
      <c r="I67" s="15"/>
      <c r="J67" s="15"/>
      <c r="K67" s="15"/>
      <c r="L67" s="16"/>
      <c r="M67" s="16"/>
      <c r="N67" s="16"/>
      <c r="O67" s="16"/>
      <c r="P67" s="16"/>
      <c r="Q67" s="16"/>
      <c r="R67" s="16"/>
      <c r="S67" s="16"/>
      <c r="T67" s="16"/>
    </row>
    <row r="68" spans="1:20" ht="15.75">
      <c r="A68" s="41"/>
      <c r="B68" s="15"/>
      <c r="C68" s="15"/>
      <c r="D68" s="42"/>
      <c r="E68" s="43"/>
      <c r="F68" s="41"/>
      <c r="G68" s="41"/>
      <c r="H68" s="15"/>
      <c r="I68" s="15"/>
      <c r="J68" s="15"/>
      <c r="K68" s="15"/>
      <c r="L68" s="16"/>
      <c r="M68" s="16"/>
      <c r="N68" s="16"/>
      <c r="O68" s="16"/>
      <c r="P68" s="16"/>
      <c r="Q68" s="16"/>
      <c r="R68" s="16"/>
      <c r="S68" s="16"/>
      <c r="T68" s="16"/>
    </row>
    <row r="69" spans="1:20" ht="15.75">
      <c r="A69" s="41"/>
      <c r="B69" s="15"/>
      <c r="C69" s="15"/>
      <c r="D69" s="42"/>
      <c r="E69" s="43"/>
      <c r="F69" s="41"/>
      <c r="G69" s="41"/>
      <c r="H69" s="15"/>
      <c r="I69" s="15"/>
      <c r="J69" s="15"/>
      <c r="K69" s="15"/>
      <c r="L69" s="16"/>
      <c r="M69" s="16"/>
      <c r="N69" s="16"/>
      <c r="O69" s="16"/>
      <c r="P69" s="16"/>
      <c r="Q69" s="16"/>
      <c r="R69" s="16"/>
      <c r="S69" s="16"/>
      <c r="T69" s="16"/>
    </row>
    <row r="70" spans="1:20" ht="15.75">
      <c r="A70" s="41"/>
      <c r="B70" s="15"/>
      <c r="C70" s="15"/>
      <c r="D70" s="42"/>
      <c r="E70" s="43"/>
      <c r="F70" s="41"/>
      <c r="G70" s="41"/>
      <c r="H70" s="15"/>
      <c r="I70" s="15"/>
      <c r="J70" s="15"/>
      <c r="K70" s="15"/>
      <c r="L70" s="16"/>
      <c r="M70" s="16"/>
      <c r="N70" s="16"/>
      <c r="O70" s="16"/>
      <c r="P70" s="16"/>
      <c r="Q70" s="16"/>
      <c r="R70" s="16"/>
      <c r="S70" s="16"/>
      <c r="T70" s="16"/>
    </row>
    <row r="71" spans="1:20" ht="15.75">
      <c r="A71" s="41"/>
      <c r="B71" s="15"/>
      <c r="C71" s="15"/>
      <c r="D71" s="42"/>
      <c r="E71" s="43"/>
      <c r="F71" s="41"/>
      <c r="G71" s="41"/>
      <c r="H71" s="15"/>
      <c r="I71" s="15"/>
      <c r="J71" s="15"/>
      <c r="K71" s="15"/>
      <c r="L71" s="16"/>
      <c r="M71" s="16"/>
      <c r="N71" s="16"/>
      <c r="O71" s="16"/>
      <c r="P71" s="16"/>
      <c r="Q71" s="16"/>
      <c r="R71" s="16"/>
      <c r="S71" s="16"/>
      <c r="T71" s="16"/>
    </row>
    <row r="72" spans="1:20" ht="15.75">
      <c r="A72" s="41"/>
      <c r="B72" s="15"/>
      <c r="C72" s="15"/>
      <c r="D72" s="42"/>
      <c r="E72" s="43"/>
      <c r="F72" s="41"/>
      <c r="G72" s="41"/>
      <c r="H72" s="15"/>
      <c r="I72" s="15"/>
      <c r="J72" s="15"/>
      <c r="K72" s="15"/>
      <c r="L72" s="16"/>
      <c r="M72" s="16"/>
      <c r="N72" s="16"/>
      <c r="O72" s="16"/>
      <c r="P72" s="16"/>
      <c r="Q72" s="16"/>
      <c r="R72" s="16"/>
      <c r="S72" s="16"/>
      <c r="T72" s="16"/>
    </row>
    <row r="73" spans="1:20" ht="15.75">
      <c r="A73" s="41"/>
      <c r="B73" s="15"/>
      <c r="C73" s="15"/>
      <c r="D73" s="42"/>
      <c r="E73" s="43"/>
      <c r="F73" s="41"/>
      <c r="G73" s="41"/>
      <c r="H73" s="15"/>
      <c r="I73" s="15"/>
      <c r="J73" s="15"/>
      <c r="K73" s="15"/>
      <c r="L73" s="16"/>
      <c r="M73" s="16"/>
      <c r="N73" s="16"/>
      <c r="O73" s="16"/>
      <c r="P73" s="16"/>
      <c r="Q73" s="16"/>
      <c r="R73" s="16"/>
      <c r="S73" s="16"/>
      <c r="T73" s="16"/>
    </row>
    <row r="74" spans="1:20" ht="15.75">
      <c r="A74" s="41"/>
      <c r="B74" s="15"/>
      <c r="C74" s="15"/>
      <c r="D74" s="42"/>
      <c r="E74" s="43"/>
      <c r="F74" s="41"/>
      <c r="G74" s="41"/>
      <c r="H74" s="15"/>
      <c r="I74" s="15"/>
      <c r="J74" s="15"/>
      <c r="K74" s="15"/>
      <c r="L74" s="16"/>
      <c r="M74" s="16"/>
      <c r="N74" s="16"/>
      <c r="O74" s="16"/>
      <c r="P74" s="16"/>
      <c r="Q74" s="16"/>
      <c r="R74" s="16"/>
      <c r="S74" s="16"/>
      <c r="T74" s="16"/>
    </row>
    <row r="75" spans="1:20" ht="15.75">
      <c r="A75" s="41"/>
      <c r="B75" s="15"/>
      <c r="C75" s="15"/>
      <c r="D75" s="42"/>
      <c r="E75" s="43"/>
      <c r="F75" s="41"/>
      <c r="G75" s="41"/>
      <c r="H75" s="15"/>
      <c r="I75" s="15"/>
      <c r="J75" s="15"/>
      <c r="K75" s="15"/>
      <c r="L75" s="16"/>
      <c r="M75" s="16"/>
      <c r="N75" s="16"/>
      <c r="O75" s="16"/>
      <c r="P75" s="16"/>
      <c r="Q75" s="16"/>
      <c r="R75" s="16"/>
      <c r="S75" s="16"/>
      <c r="T75" s="16"/>
    </row>
    <row r="76" spans="1:20" ht="15.75">
      <c r="A76" s="41"/>
      <c r="B76" s="15"/>
      <c r="C76" s="15"/>
      <c r="D76" s="42"/>
      <c r="E76" s="43"/>
      <c r="F76" s="41"/>
      <c r="G76" s="41"/>
      <c r="H76" s="15"/>
      <c r="I76" s="15"/>
      <c r="J76" s="15"/>
      <c r="K76" s="15"/>
      <c r="L76" s="16"/>
      <c r="M76" s="16"/>
      <c r="N76" s="16"/>
      <c r="O76" s="16"/>
      <c r="P76" s="16"/>
      <c r="Q76" s="16"/>
      <c r="R76" s="16"/>
      <c r="S76" s="16"/>
      <c r="T76" s="16"/>
    </row>
    <row r="77" spans="1:20" ht="15.75">
      <c r="A77" s="41"/>
      <c r="B77" s="15"/>
      <c r="C77" s="15"/>
      <c r="D77" s="42"/>
      <c r="E77" s="43"/>
      <c r="F77" s="41"/>
      <c r="G77" s="41"/>
      <c r="H77" s="15"/>
      <c r="I77" s="15"/>
      <c r="J77" s="15"/>
      <c r="K77" s="15"/>
      <c r="L77" s="16"/>
      <c r="M77" s="16"/>
      <c r="N77" s="16"/>
      <c r="O77" s="16"/>
      <c r="P77" s="16"/>
      <c r="Q77" s="16"/>
      <c r="R77" s="16"/>
      <c r="S77" s="16"/>
      <c r="T77" s="16"/>
    </row>
    <row r="78" spans="1:20" ht="15.75">
      <c r="A78" s="41"/>
      <c r="B78" s="15"/>
      <c r="C78" s="15"/>
      <c r="D78" s="42"/>
      <c r="E78" s="43"/>
      <c r="F78" s="41"/>
      <c r="G78" s="41"/>
      <c r="H78" s="15"/>
      <c r="I78" s="15"/>
      <c r="J78" s="15"/>
      <c r="K78" s="15"/>
      <c r="L78" s="16"/>
      <c r="M78" s="16"/>
      <c r="N78" s="16"/>
      <c r="O78" s="16"/>
      <c r="P78" s="16"/>
      <c r="Q78" s="16"/>
      <c r="R78" s="16"/>
      <c r="S78" s="16"/>
      <c r="T78" s="16"/>
    </row>
    <row r="79" spans="1:20" ht="15.75">
      <c r="A79" s="41"/>
      <c r="B79" s="15"/>
      <c r="C79" s="15"/>
      <c r="D79" s="42"/>
      <c r="E79" s="43"/>
      <c r="F79" s="41"/>
      <c r="G79" s="41"/>
      <c r="H79" s="15"/>
      <c r="I79" s="15"/>
      <c r="J79" s="15"/>
      <c r="K79" s="15"/>
      <c r="L79" s="16"/>
      <c r="M79" s="16"/>
      <c r="N79" s="16"/>
      <c r="O79" s="16"/>
      <c r="P79" s="16"/>
      <c r="Q79" s="16"/>
      <c r="R79" s="16"/>
      <c r="S79" s="16"/>
      <c r="T79" s="16"/>
    </row>
    <row r="80" spans="1:20" ht="15.75">
      <c r="A80" s="41"/>
      <c r="B80" s="15"/>
      <c r="C80" s="15"/>
      <c r="D80" s="42"/>
      <c r="E80" s="43"/>
      <c r="F80" s="41"/>
      <c r="G80" s="41"/>
      <c r="H80" s="15"/>
      <c r="I80" s="15"/>
      <c r="J80" s="15"/>
      <c r="K80" s="15"/>
      <c r="L80" s="16"/>
      <c r="M80" s="16"/>
      <c r="N80" s="16"/>
      <c r="O80" s="16"/>
      <c r="P80" s="16"/>
      <c r="Q80" s="16"/>
      <c r="R80" s="16"/>
      <c r="S80" s="16"/>
      <c r="T80" s="16"/>
    </row>
    <row r="81" spans="1:20" ht="15.75">
      <c r="A81" s="41"/>
      <c r="B81" s="15"/>
      <c r="C81" s="15"/>
      <c r="D81" s="42"/>
      <c r="E81" s="43"/>
      <c r="F81" s="41"/>
      <c r="G81" s="41"/>
      <c r="H81" s="15"/>
      <c r="I81" s="15"/>
      <c r="J81" s="15"/>
      <c r="K81" s="15"/>
      <c r="L81" s="16"/>
      <c r="M81" s="16"/>
      <c r="N81" s="16"/>
      <c r="O81" s="16"/>
      <c r="P81" s="16"/>
      <c r="Q81" s="16"/>
      <c r="R81" s="16"/>
      <c r="S81" s="16"/>
      <c r="T81" s="16"/>
    </row>
    <row r="82" spans="1:20" ht="15.75">
      <c r="A82" s="41"/>
      <c r="B82" s="15"/>
      <c r="C82" s="15"/>
      <c r="D82" s="42"/>
      <c r="E82" s="43"/>
      <c r="F82" s="41"/>
      <c r="G82" s="41"/>
      <c r="H82" s="15"/>
      <c r="I82" s="15"/>
      <c r="J82" s="15"/>
      <c r="K82" s="15"/>
      <c r="L82" s="16"/>
      <c r="M82" s="16"/>
      <c r="N82" s="16"/>
      <c r="O82" s="16"/>
      <c r="P82" s="16"/>
      <c r="Q82" s="16"/>
      <c r="R82" s="16"/>
      <c r="S82" s="16"/>
      <c r="T82" s="16"/>
    </row>
    <row r="83" spans="1:20" ht="15.75">
      <c r="A83" s="41"/>
      <c r="B83" s="15"/>
      <c r="C83" s="15"/>
      <c r="D83" s="42"/>
      <c r="E83" s="43"/>
      <c r="F83" s="41"/>
      <c r="G83" s="41"/>
      <c r="H83" s="15"/>
      <c r="I83" s="15"/>
      <c r="J83" s="15"/>
      <c r="K83" s="15"/>
      <c r="L83" s="16"/>
      <c r="M83" s="16"/>
      <c r="N83" s="16"/>
      <c r="O83" s="16"/>
      <c r="P83" s="16"/>
      <c r="Q83" s="16"/>
      <c r="R83" s="16"/>
      <c r="S83" s="16"/>
      <c r="T83" s="16"/>
    </row>
    <row r="84" spans="1:20" ht="15.75">
      <c r="A84" s="41"/>
      <c r="B84" s="15"/>
      <c r="C84" s="15"/>
      <c r="D84" s="42"/>
      <c r="E84" s="43"/>
      <c r="F84" s="41"/>
      <c r="G84" s="41"/>
      <c r="H84" s="15"/>
      <c r="I84" s="15"/>
      <c r="J84" s="15"/>
      <c r="K84" s="15"/>
      <c r="L84" s="16"/>
      <c r="M84" s="16"/>
      <c r="N84" s="16"/>
      <c r="O84" s="16"/>
      <c r="P84" s="16"/>
      <c r="Q84" s="16"/>
      <c r="R84" s="16"/>
      <c r="S84" s="16"/>
      <c r="T84" s="16"/>
    </row>
    <row r="85" spans="1:20" ht="15.75">
      <c r="A85" s="41"/>
      <c r="B85" s="15"/>
      <c r="C85" s="15"/>
      <c r="D85" s="42"/>
      <c r="E85" s="43"/>
      <c r="F85" s="41"/>
      <c r="G85" s="41"/>
      <c r="H85" s="15"/>
      <c r="I85" s="15"/>
      <c r="J85" s="15"/>
      <c r="K85" s="15"/>
      <c r="L85" s="16"/>
      <c r="M85" s="16"/>
      <c r="N85" s="16"/>
      <c r="O85" s="16"/>
      <c r="P85" s="16"/>
      <c r="Q85" s="16"/>
      <c r="R85" s="16"/>
      <c r="S85" s="16"/>
      <c r="T85" s="16"/>
    </row>
    <row r="86" spans="1:20" ht="15.75">
      <c r="A86" s="41"/>
      <c r="B86" s="15"/>
      <c r="C86" s="15"/>
      <c r="D86" s="42"/>
      <c r="E86" s="43"/>
      <c r="F86" s="41"/>
      <c r="G86" s="41"/>
      <c r="H86" s="15"/>
      <c r="I86" s="15"/>
      <c r="J86" s="15"/>
      <c r="K86" s="15"/>
      <c r="L86" s="16"/>
      <c r="M86" s="16"/>
      <c r="N86" s="16"/>
      <c r="O86" s="16"/>
      <c r="P86" s="16"/>
      <c r="Q86" s="16"/>
      <c r="R86" s="16"/>
      <c r="S86" s="16"/>
      <c r="T86" s="16"/>
    </row>
    <row r="87" spans="1:20" ht="15.75">
      <c r="A87" s="41"/>
      <c r="B87" s="15"/>
      <c r="C87" s="15"/>
      <c r="D87" s="42"/>
      <c r="E87" s="43"/>
      <c r="F87" s="41"/>
      <c r="G87" s="41"/>
      <c r="H87" s="15"/>
      <c r="I87" s="15"/>
      <c r="J87" s="15"/>
      <c r="K87" s="15"/>
      <c r="L87" s="16"/>
      <c r="M87" s="16"/>
      <c r="N87" s="16"/>
      <c r="O87" s="16"/>
      <c r="P87" s="16"/>
      <c r="Q87" s="16"/>
      <c r="R87" s="16"/>
      <c r="S87" s="16"/>
      <c r="T87" s="16"/>
    </row>
    <row r="88" spans="1:20" ht="15.75">
      <c r="A88" s="41"/>
      <c r="B88" s="15"/>
      <c r="C88" s="15"/>
      <c r="D88" s="42"/>
      <c r="E88" s="43"/>
      <c r="F88" s="41"/>
      <c r="G88" s="41"/>
      <c r="H88" s="15"/>
      <c r="I88" s="15"/>
      <c r="J88" s="15"/>
      <c r="K88" s="15"/>
      <c r="L88" s="16"/>
      <c r="M88" s="16"/>
      <c r="N88" s="16"/>
      <c r="O88" s="16"/>
      <c r="P88" s="16"/>
      <c r="Q88" s="16"/>
      <c r="R88" s="16"/>
      <c r="S88" s="16"/>
      <c r="T88" s="16"/>
    </row>
    <row r="89" spans="1:20" ht="15.75">
      <c r="A89" s="41"/>
      <c r="B89" s="15"/>
      <c r="C89" s="15"/>
      <c r="D89" s="42"/>
      <c r="E89" s="43"/>
      <c r="F89" s="41"/>
      <c r="G89" s="41"/>
      <c r="H89" s="15"/>
      <c r="I89" s="15"/>
      <c r="J89" s="15"/>
      <c r="K89" s="15"/>
      <c r="L89" s="16"/>
      <c r="M89" s="16"/>
      <c r="N89" s="16"/>
      <c r="O89" s="16"/>
      <c r="P89" s="16"/>
      <c r="Q89" s="16"/>
      <c r="R89" s="16"/>
      <c r="S89" s="16"/>
      <c r="T89" s="16"/>
    </row>
    <row r="90" spans="1:20" ht="15.75">
      <c r="A90" s="41"/>
      <c r="B90" s="15"/>
      <c r="C90" s="15"/>
      <c r="D90" s="42"/>
      <c r="E90" s="43"/>
      <c r="F90" s="41"/>
      <c r="G90" s="41"/>
      <c r="H90" s="15"/>
      <c r="I90" s="15"/>
      <c r="J90" s="15"/>
      <c r="K90" s="15"/>
      <c r="L90" s="16"/>
      <c r="M90" s="16"/>
      <c r="N90" s="16"/>
      <c r="O90" s="16"/>
      <c r="P90" s="16"/>
      <c r="Q90" s="16"/>
      <c r="R90" s="16"/>
      <c r="S90" s="16"/>
      <c r="T90" s="16"/>
    </row>
    <row r="91" spans="1:20" ht="15.75">
      <c r="A91" s="41"/>
      <c r="B91" s="15"/>
      <c r="C91" s="15"/>
      <c r="D91" s="42"/>
      <c r="E91" s="43"/>
      <c r="F91" s="41"/>
      <c r="G91" s="41"/>
      <c r="H91" s="15"/>
      <c r="I91" s="15"/>
      <c r="J91" s="15"/>
      <c r="K91" s="15"/>
      <c r="L91" s="16"/>
      <c r="M91" s="16"/>
      <c r="N91" s="16"/>
      <c r="O91" s="16"/>
      <c r="P91" s="16"/>
      <c r="Q91" s="16"/>
      <c r="R91" s="16"/>
      <c r="S91" s="16"/>
      <c r="T91" s="16"/>
    </row>
    <row r="92" spans="1:20" ht="15.75">
      <c r="A92" s="41"/>
      <c r="B92" s="15"/>
      <c r="C92" s="15"/>
      <c r="D92" s="42"/>
      <c r="E92" s="43"/>
      <c r="F92" s="41"/>
      <c r="G92" s="41"/>
      <c r="H92" s="15"/>
      <c r="I92" s="15"/>
      <c r="J92" s="15"/>
      <c r="K92" s="15"/>
      <c r="L92" s="16"/>
      <c r="M92" s="16"/>
      <c r="N92" s="16"/>
      <c r="O92" s="16"/>
      <c r="P92" s="16"/>
      <c r="Q92" s="16"/>
      <c r="R92" s="16"/>
      <c r="S92" s="16"/>
      <c r="T92" s="16"/>
    </row>
    <row r="93" spans="1:20" ht="15.75">
      <c r="A93" s="41"/>
      <c r="B93" s="15"/>
      <c r="C93" s="15"/>
      <c r="D93" s="42"/>
      <c r="E93" s="43"/>
      <c r="F93" s="41"/>
      <c r="G93" s="41"/>
      <c r="H93" s="15"/>
      <c r="I93" s="15"/>
      <c r="J93" s="15"/>
      <c r="K93" s="15"/>
      <c r="L93" s="16"/>
      <c r="M93" s="16"/>
      <c r="N93" s="16"/>
      <c r="O93" s="16"/>
      <c r="P93" s="16"/>
      <c r="Q93" s="16"/>
      <c r="R93" s="16"/>
      <c r="S93" s="16"/>
      <c r="T93" s="16"/>
    </row>
    <row r="94" spans="1:20" ht="15.75">
      <c r="A94" s="41"/>
      <c r="B94" s="15"/>
      <c r="C94" s="15"/>
      <c r="D94" s="42"/>
      <c r="E94" s="43"/>
      <c r="F94" s="41"/>
      <c r="G94" s="41"/>
      <c r="H94" s="15"/>
      <c r="I94" s="15"/>
      <c r="J94" s="15"/>
      <c r="K94" s="15"/>
      <c r="L94" s="16"/>
      <c r="M94" s="16"/>
      <c r="N94" s="16"/>
      <c r="O94" s="16"/>
      <c r="P94" s="16"/>
      <c r="Q94" s="16"/>
      <c r="R94" s="16"/>
      <c r="S94" s="16"/>
      <c r="T94" s="16"/>
    </row>
    <row r="95" spans="1:20" ht="15.75">
      <c r="A95" s="41"/>
      <c r="B95" s="15"/>
      <c r="C95" s="15"/>
      <c r="D95" s="42"/>
      <c r="E95" s="43"/>
      <c r="F95" s="41"/>
      <c r="G95" s="41"/>
      <c r="H95" s="15"/>
      <c r="I95" s="15"/>
      <c r="J95" s="15"/>
      <c r="K95" s="15"/>
      <c r="L95" s="16"/>
      <c r="M95" s="16"/>
      <c r="N95" s="16"/>
      <c r="O95" s="16"/>
      <c r="P95" s="16"/>
      <c r="Q95" s="16"/>
      <c r="R95" s="16"/>
      <c r="S95" s="16"/>
      <c r="T95" s="16"/>
    </row>
    <row r="96" spans="1:20" ht="15.75">
      <c r="A96" s="41"/>
      <c r="B96" s="15"/>
      <c r="C96" s="15"/>
      <c r="D96" s="42"/>
      <c r="E96" s="43"/>
      <c r="F96" s="41"/>
      <c r="G96" s="41"/>
      <c r="H96" s="15"/>
      <c r="I96" s="15"/>
      <c r="J96" s="15"/>
      <c r="K96" s="15"/>
      <c r="L96" s="16"/>
      <c r="M96" s="16"/>
      <c r="N96" s="16"/>
      <c r="O96" s="16"/>
      <c r="P96" s="16"/>
      <c r="Q96" s="16"/>
      <c r="R96" s="16"/>
      <c r="S96" s="16"/>
      <c r="T96" s="16"/>
    </row>
    <row r="97" spans="1:20" ht="15.75">
      <c r="A97" s="41"/>
      <c r="B97" s="15"/>
      <c r="C97" s="15"/>
      <c r="D97" s="42"/>
      <c r="E97" s="43"/>
      <c r="F97" s="41"/>
      <c r="G97" s="41"/>
      <c r="H97" s="15"/>
      <c r="I97" s="15"/>
      <c r="J97" s="15"/>
      <c r="K97" s="15"/>
      <c r="L97" s="16"/>
      <c r="M97" s="16"/>
      <c r="N97" s="16"/>
      <c r="O97" s="16"/>
      <c r="P97" s="16"/>
      <c r="Q97" s="16"/>
      <c r="R97" s="16"/>
      <c r="S97" s="16"/>
      <c r="T97" s="16"/>
    </row>
    <row r="98" spans="1:20" ht="15.75">
      <c r="A98" s="41"/>
      <c r="B98" s="15"/>
      <c r="C98" s="15"/>
      <c r="D98" s="42"/>
      <c r="E98" s="43"/>
      <c r="F98" s="41"/>
      <c r="G98" s="41"/>
      <c r="H98" s="15"/>
      <c r="I98" s="15"/>
      <c r="J98" s="15"/>
      <c r="K98" s="15"/>
      <c r="L98" s="16"/>
      <c r="M98" s="16"/>
      <c r="N98" s="16"/>
      <c r="O98" s="16"/>
      <c r="P98" s="16"/>
      <c r="Q98" s="16"/>
      <c r="R98" s="16"/>
      <c r="S98" s="16"/>
      <c r="T98" s="16"/>
    </row>
    <row r="99" spans="1:20" ht="15.75">
      <c r="A99" s="41"/>
      <c r="B99" s="15"/>
      <c r="C99" s="15"/>
      <c r="D99" s="42"/>
      <c r="E99" s="43"/>
      <c r="F99" s="41"/>
      <c r="G99" s="41"/>
      <c r="H99" s="15"/>
      <c r="I99" s="15"/>
      <c r="J99" s="15"/>
      <c r="K99" s="15"/>
      <c r="L99" s="16"/>
      <c r="M99" s="16"/>
      <c r="N99" s="16"/>
      <c r="O99" s="16"/>
      <c r="P99" s="16"/>
      <c r="Q99" s="16"/>
      <c r="R99" s="16"/>
      <c r="S99" s="16"/>
      <c r="T99" s="16"/>
    </row>
    <row r="100" spans="1:20" ht="15.75">
      <c r="A100" s="41"/>
      <c r="B100" s="15"/>
      <c r="C100" s="15"/>
      <c r="D100" s="42"/>
      <c r="E100" s="43"/>
      <c r="F100" s="41"/>
      <c r="G100" s="41"/>
      <c r="H100" s="15"/>
      <c r="I100" s="15"/>
      <c r="J100" s="15"/>
      <c r="K100" s="15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1:20" ht="15.75">
      <c r="A101" s="41"/>
      <c r="B101" s="15"/>
      <c r="C101" s="15"/>
      <c r="D101" s="42"/>
      <c r="E101" s="43"/>
      <c r="F101" s="41"/>
      <c r="G101" s="41"/>
      <c r="H101" s="15"/>
      <c r="I101" s="15"/>
      <c r="J101" s="15"/>
      <c r="K101" s="15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1:20" ht="15.75">
      <c r="A102" s="41"/>
      <c r="B102" s="15"/>
      <c r="C102" s="15"/>
      <c r="D102" s="42"/>
      <c r="E102" s="43"/>
      <c r="F102" s="41"/>
      <c r="G102" s="41"/>
      <c r="H102" s="15"/>
      <c r="I102" s="15"/>
      <c r="J102" s="15"/>
      <c r="K102" s="15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1:20" ht="15.75">
      <c r="A103" s="41"/>
      <c r="B103" s="15"/>
      <c r="C103" s="15"/>
      <c r="D103" s="42"/>
      <c r="E103" s="43"/>
      <c r="F103" s="41"/>
      <c r="G103" s="41"/>
      <c r="H103" s="15"/>
      <c r="I103" s="15"/>
      <c r="J103" s="15"/>
      <c r="K103" s="15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1:20" ht="15.75">
      <c r="A104" s="41"/>
      <c r="B104" s="15"/>
      <c r="C104" s="15"/>
      <c r="D104" s="42"/>
      <c r="E104" s="43"/>
      <c r="F104" s="41"/>
      <c r="G104" s="41"/>
      <c r="H104" s="15"/>
      <c r="I104" s="15"/>
      <c r="J104" s="15"/>
      <c r="K104" s="15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1:20" ht="15.75">
      <c r="A105" s="41"/>
      <c r="B105" s="15"/>
      <c r="C105" s="15"/>
      <c r="D105" s="42"/>
      <c r="E105" s="43"/>
      <c r="F105" s="41"/>
      <c r="G105" s="41"/>
      <c r="H105" s="15"/>
      <c r="I105" s="15"/>
      <c r="J105" s="15"/>
      <c r="K105" s="15"/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1:20" ht="15.75">
      <c r="A106" s="41"/>
      <c r="B106" s="15"/>
      <c r="C106" s="15"/>
      <c r="D106" s="42"/>
      <c r="E106" s="43"/>
      <c r="F106" s="41"/>
      <c r="G106" s="41"/>
      <c r="H106" s="15"/>
      <c r="I106" s="15"/>
      <c r="J106" s="15"/>
      <c r="K106" s="15"/>
      <c r="L106" s="16"/>
      <c r="M106" s="16"/>
      <c r="N106" s="16"/>
      <c r="O106" s="16"/>
      <c r="P106" s="16"/>
      <c r="Q106" s="16"/>
      <c r="R106" s="16"/>
      <c r="S106" s="16"/>
      <c r="T106" s="16"/>
    </row>
    <row r="107" spans="1:20" ht="15.75">
      <c r="A107" s="41"/>
      <c r="B107" s="15"/>
      <c r="C107" s="15"/>
      <c r="D107" s="42"/>
      <c r="E107" s="43"/>
      <c r="F107" s="41"/>
      <c r="G107" s="41"/>
      <c r="H107" s="15"/>
      <c r="I107" s="15"/>
      <c r="J107" s="15"/>
      <c r="K107" s="15"/>
      <c r="L107" s="16"/>
      <c r="M107" s="16"/>
      <c r="N107" s="16"/>
      <c r="O107" s="16"/>
      <c r="P107" s="16"/>
      <c r="Q107" s="16"/>
      <c r="R107" s="16"/>
      <c r="S107" s="16"/>
      <c r="T107" s="16"/>
    </row>
    <row r="108" spans="1:20" ht="15.75">
      <c r="A108" s="41"/>
      <c r="B108" s="15"/>
      <c r="C108" s="15"/>
      <c r="D108" s="42"/>
      <c r="E108" s="43"/>
      <c r="F108" s="41"/>
      <c r="G108" s="41"/>
      <c r="H108" s="15"/>
      <c r="I108" s="15"/>
      <c r="J108" s="15"/>
      <c r="K108" s="15"/>
      <c r="L108" s="16"/>
      <c r="M108" s="16"/>
      <c r="N108" s="16"/>
      <c r="O108" s="16"/>
      <c r="P108" s="16"/>
      <c r="Q108" s="16"/>
      <c r="R108" s="16"/>
      <c r="S108" s="16"/>
      <c r="T108" s="16"/>
    </row>
    <row r="109" spans="1:20" ht="15.75">
      <c r="A109" s="41"/>
      <c r="B109" s="15"/>
      <c r="C109" s="15"/>
      <c r="D109" s="42"/>
      <c r="E109" s="43"/>
      <c r="F109" s="41"/>
      <c r="G109" s="41"/>
      <c r="H109" s="15"/>
      <c r="I109" s="15"/>
      <c r="J109" s="15"/>
      <c r="K109" s="15"/>
      <c r="L109" s="16"/>
      <c r="M109" s="16"/>
      <c r="N109" s="16"/>
      <c r="O109" s="16"/>
      <c r="P109" s="16"/>
      <c r="Q109" s="16"/>
      <c r="R109" s="16"/>
      <c r="S109" s="16"/>
      <c r="T109" s="16"/>
    </row>
    <row r="110" spans="1:20" ht="15.75">
      <c r="A110" s="41"/>
      <c r="B110" s="15"/>
      <c r="C110" s="15"/>
      <c r="D110" s="42"/>
      <c r="E110" s="43"/>
      <c r="F110" s="41"/>
      <c r="G110" s="41"/>
      <c r="H110" s="15"/>
      <c r="I110" s="15"/>
      <c r="J110" s="15"/>
      <c r="K110" s="15"/>
      <c r="L110" s="16"/>
      <c r="M110" s="16"/>
      <c r="N110" s="16"/>
      <c r="O110" s="16"/>
      <c r="P110" s="16"/>
      <c r="Q110" s="16"/>
      <c r="R110" s="16"/>
      <c r="S110" s="16"/>
      <c r="T110" s="16"/>
    </row>
    <row r="111" spans="1:20" ht="15.75">
      <c r="A111" s="41"/>
      <c r="B111" s="15"/>
      <c r="C111" s="15"/>
      <c r="D111" s="42"/>
      <c r="E111" s="43"/>
      <c r="F111" s="41"/>
      <c r="G111" s="41"/>
      <c r="H111" s="15"/>
      <c r="I111" s="15"/>
      <c r="J111" s="15"/>
      <c r="K111" s="15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1:20" ht="15.75">
      <c r="A112" s="41"/>
      <c r="B112" s="15"/>
      <c r="C112" s="15"/>
      <c r="D112" s="42"/>
      <c r="E112" s="43"/>
      <c r="F112" s="41"/>
      <c r="G112" s="41"/>
      <c r="H112" s="15"/>
      <c r="I112" s="15"/>
      <c r="J112" s="15"/>
      <c r="K112" s="15"/>
      <c r="L112" s="16"/>
      <c r="M112" s="16"/>
      <c r="N112" s="16"/>
      <c r="O112" s="16"/>
      <c r="P112" s="16"/>
      <c r="Q112" s="16"/>
      <c r="R112" s="16"/>
      <c r="S112" s="16"/>
      <c r="T112" s="16"/>
    </row>
    <row r="113" spans="1:20" ht="15.75">
      <c r="A113" s="41"/>
      <c r="B113" s="15"/>
      <c r="C113" s="15"/>
      <c r="D113" s="42"/>
      <c r="E113" s="43"/>
      <c r="F113" s="41"/>
      <c r="G113" s="41"/>
      <c r="H113" s="15"/>
      <c r="I113" s="15"/>
      <c r="J113" s="15"/>
      <c r="K113" s="15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1:20" ht="15.75">
      <c r="A114" s="41"/>
      <c r="B114" s="15"/>
      <c r="C114" s="15"/>
      <c r="D114" s="42"/>
      <c r="E114" s="43"/>
      <c r="F114" s="41"/>
      <c r="G114" s="41"/>
      <c r="H114" s="15"/>
      <c r="I114" s="15"/>
      <c r="J114" s="15"/>
      <c r="K114" s="15"/>
      <c r="L114" s="16"/>
      <c r="M114" s="16"/>
      <c r="N114" s="16"/>
      <c r="O114" s="16"/>
      <c r="P114" s="16"/>
      <c r="Q114" s="16"/>
      <c r="R114" s="16"/>
      <c r="S114" s="16"/>
      <c r="T114" s="16"/>
    </row>
    <row r="115" spans="1:20" ht="15.75">
      <c r="A115" s="41"/>
      <c r="B115" s="15"/>
      <c r="C115" s="15"/>
      <c r="D115" s="42"/>
      <c r="E115" s="43"/>
      <c r="F115" s="41"/>
      <c r="G115" s="41"/>
      <c r="H115" s="15"/>
      <c r="I115" s="15"/>
      <c r="J115" s="15"/>
      <c r="K115" s="15"/>
      <c r="L115" s="16"/>
      <c r="M115" s="16"/>
      <c r="N115" s="16"/>
      <c r="O115" s="16"/>
      <c r="P115" s="16"/>
      <c r="Q115" s="16"/>
      <c r="R115" s="16"/>
      <c r="S115" s="16"/>
      <c r="T115" s="16"/>
    </row>
    <row r="116" spans="1:20" ht="15.75">
      <c r="A116" s="41"/>
      <c r="B116" s="15"/>
      <c r="C116" s="15"/>
      <c r="D116" s="42"/>
      <c r="E116" s="43"/>
      <c r="F116" s="41"/>
      <c r="G116" s="41"/>
      <c r="H116" s="15"/>
      <c r="I116" s="15"/>
      <c r="J116" s="15"/>
      <c r="K116" s="15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1:20" ht="15.75">
      <c r="A117" s="41"/>
      <c r="B117" s="15"/>
      <c r="C117" s="15"/>
      <c r="D117" s="42"/>
      <c r="E117" s="43"/>
      <c r="F117" s="41"/>
      <c r="G117" s="41"/>
      <c r="H117" s="15"/>
      <c r="I117" s="15"/>
      <c r="J117" s="15"/>
      <c r="K117" s="15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1:20" ht="15.75">
      <c r="A118" s="41"/>
      <c r="B118" s="15"/>
      <c r="C118" s="15"/>
      <c r="D118" s="42"/>
      <c r="E118" s="43"/>
      <c r="F118" s="41"/>
      <c r="G118" s="41"/>
      <c r="H118" s="15"/>
      <c r="I118" s="15"/>
      <c r="J118" s="15"/>
      <c r="K118" s="15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1:20" ht="15.75">
      <c r="A119" s="41"/>
      <c r="B119" s="15"/>
      <c r="C119" s="15"/>
      <c r="D119" s="42"/>
      <c r="E119" s="43"/>
      <c r="F119" s="41"/>
      <c r="G119" s="41"/>
      <c r="H119" s="15"/>
      <c r="I119" s="15"/>
      <c r="J119" s="15"/>
      <c r="K119" s="15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1:20" ht="15.75">
      <c r="A120" s="41"/>
      <c r="B120" s="15"/>
      <c r="C120" s="15"/>
      <c r="D120" s="42"/>
      <c r="E120" s="43"/>
      <c r="F120" s="41"/>
      <c r="G120" s="41"/>
      <c r="H120" s="15"/>
      <c r="I120" s="15"/>
      <c r="J120" s="15"/>
      <c r="K120" s="15"/>
      <c r="L120" s="16"/>
      <c r="M120" s="16"/>
      <c r="N120" s="16"/>
      <c r="O120" s="16"/>
      <c r="P120" s="16"/>
      <c r="Q120" s="16"/>
      <c r="R120" s="16"/>
      <c r="S120" s="16"/>
      <c r="T120" s="16"/>
    </row>
    <row r="121" spans="1:20" ht="15.75">
      <c r="A121" s="41"/>
      <c r="B121" s="15"/>
      <c r="C121" s="15"/>
      <c r="D121" s="42"/>
      <c r="E121" s="43"/>
      <c r="F121" s="41"/>
      <c r="G121" s="41"/>
      <c r="H121" s="15"/>
      <c r="I121" s="15"/>
      <c r="J121" s="15"/>
      <c r="K121" s="15"/>
      <c r="L121" s="16"/>
      <c r="M121" s="16"/>
      <c r="N121" s="16"/>
      <c r="O121" s="16"/>
      <c r="P121" s="16"/>
      <c r="Q121" s="16"/>
      <c r="R121" s="16"/>
      <c r="S121" s="16"/>
      <c r="T121" s="16"/>
    </row>
    <row r="122" spans="1:20" ht="15.75">
      <c r="A122" s="41"/>
      <c r="B122" s="15"/>
      <c r="C122" s="15"/>
      <c r="D122" s="42"/>
      <c r="E122" s="43"/>
      <c r="F122" s="41"/>
      <c r="G122" s="41"/>
      <c r="H122" s="15"/>
      <c r="I122" s="15"/>
      <c r="J122" s="15"/>
      <c r="K122" s="15"/>
      <c r="L122" s="16"/>
      <c r="M122" s="16"/>
      <c r="N122" s="16"/>
      <c r="O122" s="16"/>
      <c r="P122" s="16"/>
      <c r="Q122" s="16"/>
      <c r="R122" s="16"/>
      <c r="S122" s="16"/>
      <c r="T122" s="16"/>
    </row>
    <row r="123" spans="1:20" ht="15.75">
      <c r="A123" s="41"/>
      <c r="B123" s="15"/>
      <c r="C123" s="15"/>
      <c r="D123" s="42"/>
      <c r="E123" s="43"/>
      <c r="F123" s="41"/>
      <c r="G123" s="41"/>
      <c r="H123" s="15"/>
      <c r="I123" s="15"/>
      <c r="J123" s="15"/>
      <c r="K123" s="15"/>
      <c r="L123" s="16"/>
      <c r="M123" s="16"/>
      <c r="N123" s="16"/>
      <c r="O123" s="16"/>
      <c r="P123" s="16"/>
      <c r="Q123" s="16"/>
      <c r="R123" s="16"/>
      <c r="S123" s="16"/>
      <c r="T123" s="16"/>
    </row>
    <row r="124" spans="1:20" ht="15.75">
      <c r="A124" s="41"/>
      <c r="B124" s="15"/>
      <c r="C124" s="15"/>
      <c r="D124" s="42"/>
      <c r="E124" s="43"/>
      <c r="F124" s="41"/>
      <c r="G124" s="41"/>
      <c r="H124" s="15"/>
      <c r="I124" s="15"/>
      <c r="J124" s="15"/>
      <c r="K124" s="15"/>
      <c r="L124" s="16"/>
      <c r="M124" s="16"/>
      <c r="N124" s="16"/>
      <c r="O124" s="16"/>
      <c r="P124" s="16"/>
      <c r="Q124" s="16"/>
      <c r="R124" s="16"/>
      <c r="S124" s="16"/>
      <c r="T124" s="16"/>
    </row>
    <row r="125" spans="1:20" ht="15.75">
      <c r="A125" s="41"/>
      <c r="B125" s="15"/>
      <c r="C125" s="15"/>
      <c r="D125" s="42"/>
      <c r="E125" s="43"/>
      <c r="F125" s="41"/>
      <c r="G125" s="41"/>
      <c r="H125" s="15"/>
      <c r="I125" s="15"/>
      <c r="J125" s="15"/>
      <c r="K125" s="15"/>
      <c r="L125" s="16"/>
      <c r="M125" s="16"/>
      <c r="N125" s="16"/>
      <c r="O125" s="16"/>
      <c r="P125" s="16"/>
      <c r="Q125" s="16"/>
      <c r="R125" s="16"/>
      <c r="S125" s="16"/>
      <c r="T125" s="16"/>
    </row>
    <row r="126" spans="1:20" ht="15.75">
      <c r="A126" s="41"/>
      <c r="B126" s="15"/>
      <c r="C126" s="15"/>
      <c r="D126" s="42"/>
      <c r="E126" s="43"/>
      <c r="F126" s="41"/>
      <c r="G126" s="41"/>
      <c r="H126" s="15"/>
      <c r="I126" s="15"/>
      <c r="J126" s="15"/>
      <c r="K126" s="15"/>
      <c r="L126" s="16"/>
      <c r="M126" s="16"/>
      <c r="N126" s="16"/>
      <c r="O126" s="16"/>
      <c r="P126" s="16"/>
      <c r="Q126" s="16"/>
      <c r="R126" s="16"/>
      <c r="S126" s="16"/>
      <c r="T126" s="16"/>
    </row>
    <row r="127" spans="1:20" ht="15.75">
      <c r="A127" s="41"/>
      <c r="B127" s="15"/>
      <c r="C127" s="15"/>
      <c r="D127" s="42"/>
      <c r="E127" s="43"/>
      <c r="F127" s="41"/>
      <c r="G127" s="41"/>
      <c r="H127" s="15"/>
      <c r="I127" s="15"/>
      <c r="J127" s="15"/>
      <c r="K127" s="15"/>
      <c r="L127" s="16"/>
      <c r="M127" s="16"/>
      <c r="N127" s="16"/>
      <c r="O127" s="16"/>
      <c r="P127" s="16"/>
      <c r="Q127" s="16"/>
      <c r="R127" s="16"/>
      <c r="S127" s="16"/>
      <c r="T127" s="16"/>
    </row>
    <row r="128" spans="1:20" ht="15.75">
      <c r="A128" s="41"/>
      <c r="B128" s="15"/>
      <c r="C128" s="15"/>
      <c r="D128" s="42"/>
      <c r="E128" s="43"/>
      <c r="F128" s="41"/>
      <c r="G128" s="41"/>
      <c r="H128" s="15"/>
      <c r="I128" s="15"/>
      <c r="J128" s="15"/>
      <c r="K128" s="15"/>
      <c r="L128" s="16"/>
      <c r="M128" s="16"/>
      <c r="N128" s="16"/>
      <c r="O128" s="16"/>
      <c r="P128" s="16"/>
      <c r="Q128" s="16"/>
      <c r="R128" s="16"/>
      <c r="S128" s="16"/>
      <c r="T128" s="16"/>
    </row>
    <row r="129" spans="1:20" ht="15.75">
      <c r="A129" s="41"/>
      <c r="B129" s="15"/>
      <c r="C129" s="15"/>
      <c r="D129" s="42"/>
      <c r="E129" s="43"/>
      <c r="F129" s="41"/>
      <c r="G129" s="41"/>
      <c r="H129" s="15"/>
      <c r="I129" s="15"/>
      <c r="J129" s="15"/>
      <c r="K129" s="15"/>
      <c r="L129" s="16"/>
      <c r="M129" s="16"/>
      <c r="N129" s="16"/>
      <c r="O129" s="16"/>
      <c r="P129" s="16"/>
      <c r="Q129" s="16"/>
      <c r="R129" s="16"/>
      <c r="S129" s="16"/>
      <c r="T129" s="16"/>
    </row>
    <row r="130" spans="1:20" ht="15.75">
      <c r="A130" s="41"/>
      <c r="B130" s="15"/>
      <c r="C130" s="15"/>
      <c r="D130" s="42"/>
      <c r="E130" s="43"/>
      <c r="F130" s="41"/>
      <c r="G130" s="41"/>
      <c r="H130" s="15"/>
      <c r="I130" s="15"/>
      <c r="J130" s="15"/>
      <c r="K130" s="15"/>
      <c r="L130" s="16"/>
      <c r="M130" s="16"/>
      <c r="N130" s="16"/>
      <c r="O130" s="16"/>
      <c r="P130" s="16"/>
      <c r="Q130" s="16"/>
      <c r="R130" s="16"/>
      <c r="S130" s="16"/>
      <c r="T130" s="16"/>
    </row>
    <row r="131" spans="1:20" ht="15.75">
      <c r="A131" s="41"/>
      <c r="B131" s="15"/>
      <c r="C131" s="15"/>
      <c r="D131" s="42"/>
      <c r="E131" s="43"/>
      <c r="F131" s="41"/>
      <c r="G131" s="41"/>
      <c r="H131" s="15"/>
      <c r="I131" s="15"/>
      <c r="J131" s="15"/>
      <c r="K131" s="15"/>
      <c r="L131" s="16"/>
      <c r="M131" s="16"/>
      <c r="N131" s="16"/>
      <c r="O131" s="16"/>
      <c r="P131" s="16"/>
      <c r="Q131" s="16"/>
      <c r="R131" s="16"/>
      <c r="S131" s="16"/>
      <c r="T131" s="16"/>
    </row>
    <row r="132" spans="1:20" ht="15.75">
      <c r="A132" s="41"/>
      <c r="B132" s="15"/>
      <c r="C132" s="15"/>
      <c r="D132" s="42"/>
      <c r="E132" s="43"/>
      <c r="F132" s="41"/>
      <c r="G132" s="41"/>
      <c r="H132" s="15"/>
      <c r="I132" s="15"/>
      <c r="J132" s="15"/>
      <c r="K132" s="15"/>
      <c r="L132" s="16"/>
      <c r="M132" s="16"/>
      <c r="N132" s="16"/>
      <c r="O132" s="16"/>
      <c r="P132" s="16"/>
      <c r="Q132" s="16"/>
      <c r="R132" s="16"/>
      <c r="S132" s="16"/>
      <c r="T132" s="16"/>
    </row>
    <row r="133" spans="1:20" ht="15.75">
      <c r="A133" s="41"/>
      <c r="B133" s="15"/>
      <c r="C133" s="15"/>
      <c r="D133" s="42"/>
      <c r="E133" s="43"/>
      <c r="F133" s="41"/>
      <c r="G133" s="41"/>
      <c r="H133" s="15"/>
      <c r="I133" s="15"/>
      <c r="J133" s="15"/>
      <c r="K133" s="15"/>
      <c r="L133" s="16"/>
      <c r="M133" s="16"/>
      <c r="N133" s="16"/>
      <c r="O133" s="16"/>
      <c r="P133" s="16"/>
      <c r="Q133" s="16"/>
      <c r="R133" s="16"/>
      <c r="S133" s="16"/>
      <c r="T133" s="16"/>
    </row>
    <row r="134" spans="1:20" ht="15.75">
      <c r="A134" s="41"/>
      <c r="B134" s="15"/>
      <c r="C134" s="15"/>
      <c r="D134" s="42"/>
      <c r="E134" s="43"/>
      <c r="F134" s="41"/>
      <c r="G134" s="41"/>
      <c r="H134" s="15"/>
      <c r="I134" s="15"/>
      <c r="J134" s="15"/>
      <c r="K134" s="15"/>
      <c r="L134" s="16"/>
      <c r="M134" s="16"/>
      <c r="N134" s="16"/>
      <c r="O134" s="16"/>
      <c r="P134" s="16"/>
      <c r="Q134" s="16"/>
      <c r="R134" s="16"/>
      <c r="S134" s="16"/>
      <c r="T134" s="16"/>
    </row>
    <row r="135" spans="1:20" ht="15.75">
      <c r="A135" s="41"/>
      <c r="B135" s="15"/>
      <c r="C135" s="15"/>
      <c r="D135" s="42"/>
      <c r="E135" s="43"/>
      <c r="F135" s="41"/>
      <c r="G135" s="41"/>
      <c r="H135" s="15"/>
      <c r="I135" s="15"/>
      <c r="J135" s="15"/>
      <c r="K135" s="15"/>
      <c r="L135" s="16"/>
      <c r="M135" s="16"/>
      <c r="N135" s="16"/>
      <c r="O135" s="16"/>
      <c r="P135" s="16"/>
      <c r="Q135" s="16"/>
      <c r="R135" s="16"/>
      <c r="S135" s="16"/>
      <c r="T135" s="16"/>
    </row>
    <row r="136" spans="1:20" ht="15.75">
      <c r="A136" s="41"/>
      <c r="B136" s="15"/>
      <c r="C136" s="15"/>
      <c r="D136" s="42"/>
      <c r="E136" s="43"/>
      <c r="F136" s="41"/>
      <c r="G136" s="41"/>
      <c r="H136" s="15"/>
      <c r="I136" s="15"/>
      <c r="J136" s="15"/>
      <c r="K136" s="15"/>
      <c r="L136" s="16"/>
      <c r="M136" s="16"/>
      <c r="N136" s="16"/>
      <c r="O136" s="16"/>
      <c r="P136" s="16"/>
      <c r="Q136" s="16"/>
      <c r="R136" s="16"/>
      <c r="S136" s="16"/>
      <c r="T136" s="16"/>
    </row>
    <row r="137" spans="1:20" ht="15.75">
      <c r="A137" s="41"/>
      <c r="B137" s="15"/>
      <c r="C137" s="15"/>
      <c r="D137" s="42"/>
      <c r="E137" s="43"/>
      <c r="F137" s="41"/>
      <c r="G137" s="41"/>
      <c r="H137" s="15"/>
      <c r="I137" s="15"/>
      <c r="J137" s="15"/>
      <c r="K137" s="15"/>
      <c r="L137" s="16"/>
      <c r="M137" s="16"/>
      <c r="N137" s="16"/>
      <c r="O137" s="16"/>
      <c r="P137" s="16"/>
      <c r="Q137" s="16"/>
      <c r="R137" s="16"/>
      <c r="S137" s="16"/>
      <c r="T137" s="16"/>
    </row>
    <row r="138" spans="1:20" ht="15.75">
      <c r="A138" s="41"/>
      <c r="B138" s="15"/>
      <c r="C138" s="15"/>
      <c r="D138" s="42"/>
      <c r="E138" s="43"/>
      <c r="F138" s="41"/>
      <c r="G138" s="41"/>
      <c r="H138" s="15"/>
      <c r="I138" s="15"/>
      <c r="J138" s="15"/>
      <c r="K138" s="15"/>
      <c r="L138" s="16"/>
      <c r="M138" s="16"/>
      <c r="N138" s="16"/>
      <c r="O138" s="16"/>
      <c r="P138" s="16"/>
      <c r="Q138" s="16"/>
      <c r="R138" s="16"/>
      <c r="S138" s="16"/>
      <c r="T138" s="16"/>
    </row>
    <row r="139" spans="1:20" ht="15.75">
      <c r="A139" s="41"/>
      <c r="B139" s="15"/>
      <c r="C139" s="15"/>
      <c r="D139" s="42"/>
      <c r="E139" s="43"/>
      <c r="F139" s="41"/>
      <c r="G139" s="41"/>
      <c r="H139" s="15"/>
      <c r="I139" s="15"/>
      <c r="J139" s="15"/>
      <c r="K139" s="15"/>
      <c r="L139" s="16"/>
      <c r="M139" s="16"/>
      <c r="N139" s="16"/>
      <c r="O139" s="16"/>
      <c r="P139" s="16"/>
      <c r="Q139" s="16"/>
      <c r="R139" s="16"/>
      <c r="S139" s="16"/>
      <c r="T139" s="16"/>
    </row>
    <row r="140" spans="1:20" ht="15.75">
      <c r="A140" s="41"/>
      <c r="B140" s="15"/>
      <c r="C140" s="15"/>
      <c r="D140" s="42"/>
      <c r="E140" s="43"/>
      <c r="F140" s="41"/>
      <c r="G140" s="41"/>
      <c r="H140" s="15"/>
      <c r="I140" s="15"/>
      <c r="J140" s="15"/>
      <c r="K140" s="15"/>
      <c r="L140" s="16"/>
      <c r="M140" s="16"/>
      <c r="N140" s="16"/>
      <c r="O140" s="16"/>
      <c r="P140" s="16"/>
      <c r="Q140" s="16"/>
      <c r="R140" s="16"/>
      <c r="S140" s="16"/>
      <c r="T140" s="16"/>
    </row>
    <row r="141" spans="1:20" ht="15.75">
      <c r="A141" s="41"/>
      <c r="B141" s="15"/>
      <c r="C141" s="15"/>
      <c r="D141" s="42"/>
      <c r="E141" s="43"/>
      <c r="F141" s="41"/>
      <c r="G141" s="41"/>
      <c r="H141" s="15"/>
      <c r="I141" s="15"/>
      <c r="J141" s="15"/>
      <c r="K141" s="15"/>
      <c r="L141" s="16"/>
      <c r="M141" s="16"/>
      <c r="N141" s="16"/>
      <c r="O141" s="16"/>
      <c r="P141" s="16"/>
      <c r="Q141" s="16"/>
      <c r="R141" s="16"/>
      <c r="S141" s="16"/>
      <c r="T141" s="16"/>
    </row>
    <row r="142" spans="1:20" ht="15.75">
      <c r="A142" s="41"/>
      <c r="B142" s="15"/>
      <c r="C142" s="15"/>
      <c r="D142" s="42"/>
      <c r="E142" s="43"/>
      <c r="F142" s="41"/>
      <c r="G142" s="41"/>
      <c r="H142" s="15"/>
      <c r="I142" s="15"/>
      <c r="J142" s="15"/>
      <c r="K142" s="15"/>
      <c r="L142" s="16"/>
      <c r="M142" s="16"/>
      <c r="N142" s="16"/>
      <c r="O142" s="16"/>
      <c r="P142" s="16"/>
      <c r="Q142" s="16"/>
      <c r="R142" s="16"/>
      <c r="S142" s="16"/>
      <c r="T142" s="16"/>
    </row>
    <row r="143" spans="1:20" ht="15.75">
      <c r="A143" s="41"/>
      <c r="B143" s="15"/>
      <c r="C143" s="15"/>
      <c r="D143" s="42"/>
      <c r="E143" s="43"/>
      <c r="F143" s="41"/>
      <c r="G143" s="41"/>
      <c r="H143" s="15"/>
      <c r="I143" s="15"/>
      <c r="J143" s="15"/>
      <c r="K143" s="15"/>
      <c r="L143" s="16"/>
      <c r="M143" s="16"/>
      <c r="N143" s="16"/>
      <c r="O143" s="16"/>
      <c r="P143" s="16"/>
      <c r="Q143" s="16"/>
      <c r="R143" s="16"/>
      <c r="S143" s="16"/>
      <c r="T143" s="16"/>
    </row>
    <row r="144" spans="1:20" ht="15.75">
      <c r="A144" s="41"/>
      <c r="B144" s="15"/>
      <c r="C144" s="15"/>
      <c r="D144" s="42"/>
      <c r="E144" s="43"/>
      <c r="F144" s="41"/>
      <c r="G144" s="41"/>
      <c r="H144" s="15"/>
      <c r="I144" s="15"/>
      <c r="J144" s="15"/>
      <c r="K144" s="15"/>
      <c r="L144" s="16"/>
      <c r="M144" s="16"/>
      <c r="N144" s="16"/>
      <c r="O144" s="16"/>
      <c r="P144" s="16"/>
      <c r="Q144" s="16"/>
      <c r="R144" s="16"/>
      <c r="S144" s="16"/>
      <c r="T144" s="16"/>
    </row>
    <row r="145" spans="1:20" ht="15.75">
      <c r="A145" s="41"/>
      <c r="B145" s="15"/>
      <c r="C145" s="15"/>
      <c r="D145" s="42"/>
      <c r="E145" s="43"/>
      <c r="F145" s="41"/>
      <c r="G145" s="41"/>
      <c r="H145" s="15"/>
      <c r="I145" s="15"/>
      <c r="J145" s="15"/>
      <c r="K145" s="15"/>
      <c r="L145" s="16"/>
      <c r="M145" s="16"/>
      <c r="N145" s="16"/>
      <c r="O145" s="16"/>
      <c r="P145" s="16"/>
      <c r="Q145" s="16"/>
      <c r="R145" s="16"/>
      <c r="S145" s="16"/>
      <c r="T145" s="16"/>
    </row>
    <row r="146" spans="1:20" ht="15.75">
      <c r="A146" s="41"/>
      <c r="B146" s="15"/>
      <c r="C146" s="15"/>
      <c r="D146" s="42"/>
      <c r="E146" s="43"/>
      <c r="F146" s="41"/>
      <c r="G146" s="41"/>
      <c r="H146" s="15"/>
      <c r="I146" s="15"/>
      <c r="J146" s="15"/>
      <c r="K146" s="15"/>
      <c r="L146" s="16"/>
      <c r="M146" s="16"/>
      <c r="N146" s="16"/>
      <c r="O146" s="16"/>
      <c r="P146" s="16"/>
      <c r="Q146" s="16"/>
      <c r="R146" s="16"/>
      <c r="S146" s="16"/>
      <c r="T146" s="16"/>
    </row>
    <row r="147" spans="1:20" ht="15.75">
      <c r="A147" s="41"/>
      <c r="B147" s="15"/>
      <c r="C147" s="15"/>
      <c r="D147" s="42"/>
      <c r="E147" s="43"/>
      <c r="F147" s="41"/>
      <c r="G147" s="41"/>
      <c r="H147" s="15"/>
      <c r="I147" s="15"/>
      <c r="J147" s="15"/>
      <c r="K147" s="15"/>
      <c r="L147" s="16"/>
      <c r="M147" s="16"/>
      <c r="N147" s="16"/>
      <c r="O147" s="16"/>
      <c r="P147" s="16"/>
      <c r="Q147" s="16"/>
      <c r="R147" s="16"/>
      <c r="S147" s="16"/>
      <c r="T147" s="16"/>
    </row>
    <row r="148" spans="1:20" ht="15.75">
      <c r="A148" s="41"/>
      <c r="B148" s="15"/>
      <c r="C148" s="15"/>
      <c r="D148" s="42"/>
      <c r="E148" s="43"/>
      <c r="F148" s="41"/>
      <c r="G148" s="41"/>
      <c r="H148" s="15"/>
      <c r="I148" s="15"/>
      <c r="J148" s="15"/>
      <c r="K148" s="15"/>
      <c r="L148" s="16"/>
      <c r="M148" s="16"/>
      <c r="N148" s="16"/>
      <c r="O148" s="16"/>
      <c r="P148" s="16"/>
      <c r="Q148" s="16"/>
      <c r="R148" s="16"/>
      <c r="S148" s="16"/>
      <c r="T148" s="16"/>
    </row>
    <row r="149" spans="1:20" ht="15.75">
      <c r="A149" s="41"/>
      <c r="B149" s="15"/>
      <c r="C149" s="15"/>
      <c r="D149" s="42"/>
      <c r="E149" s="43"/>
      <c r="F149" s="41"/>
      <c r="G149" s="41"/>
      <c r="H149" s="15"/>
      <c r="I149" s="15"/>
      <c r="J149" s="15"/>
      <c r="K149" s="15"/>
      <c r="L149" s="16"/>
      <c r="M149" s="16"/>
      <c r="N149" s="16"/>
      <c r="O149" s="16"/>
      <c r="P149" s="16"/>
      <c r="Q149" s="16"/>
      <c r="R149" s="16"/>
      <c r="S149" s="16"/>
      <c r="T149" s="16"/>
    </row>
    <row r="150" spans="1:20" ht="15.75">
      <c r="A150" s="41"/>
      <c r="B150" s="15"/>
      <c r="C150" s="15"/>
      <c r="D150" s="42"/>
      <c r="E150" s="43"/>
      <c r="F150" s="41"/>
      <c r="G150" s="41"/>
      <c r="H150" s="15"/>
      <c r="I150" s="15"/>
      <c r="J150" s="15"/>
      <c r="K150" s="15"/>
      <c r="L150" s="16"/>
      <c r="M150" s="16"/>
      <c r="N150" s="16"/>
      <c r="O150" s="16"/>
      <c r="P150" s="16"/>
      <c r="Q150" s="16"/>
      <c r="R150" s="16"/>
      <c r="S150" s="16"/>
      <c r="T150" s="16"/>
    </row>
    <row r="151" spans="1:20" ht="15.75">
      <c r="A151" s="41"/>
      <c r="B151" s="15"/>
      <c r="C151" s="15"/>
      <c r="D151" s="42"/>
      <c r="E151" s="43"/>
      <c r="F151" s="41"/>
      <c r="G151" s="41"/>
      <c r="H151" s="15"/>
      <c r="I151" s="15"/>
      <c r="J151" s="15"/>
      <c r="K151" s="15"/>
      <c r="L151" s="16"/>
      <c r="M151" s="16"/>
      <c r="N151" s="16"/>
      <c r="O151" s="16"/>
      <c r="P151" s="16"/>
      <c r="Q151" s="16"/>
      <c r="R151" s="16"/>
      <c r="S151" s="16"/>
      <c r="T151" s="16"/>
    </row>
  </sheetData>
  <sheetProtection/>
  <mergeCells count="5">
    <mergeCell ref="A7:B7"/>
    <mergeCell ref="A8:B8"/>
    <mergeCell ref="A55:B55"/>
    <mergeCell ref="F1:K1"/>
    <mergeCell ref="M57:N57"/>
  </mergeCells>
  <printOptions/>
  <pageMargins left="0" right="0" top="0" bottom="0" header="0.31496062992125984" footer="0.31496062992125984"/>
  <pageSetup fitToWidth="2" horizontalDpi="600" verticalDpi="600" orientation="landscape" paperSize="9" scale="7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2012-07-09T06:24:12Z</dcterms:modified>
  <cp:category/>
  <cp:version/>
  <cp:contentType/>
  <cp:contentStatus/>
</cp:coreProperties>
</file>