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'Лист1'!$A:$B,'Лист1'!$3:$3</definedName>
    <definedName name="_xlnm.Print_Area" localSheetId="0">'Лист1'!$A$1:$S$56</definedName>
  </definedNames>
  <calcPr fullCalcOnLoad="1"/>
</workbook>
</file>

<file path=xl/sharedStrings.xml><?xml version="1.0" encoding="utf-8"?>
<sst xmlns="http://schemas.openxmlformats.org/spreadsheetml/2006/main" count="74" uniqueCount="74">
  <si>
    <t>№
 п.п.</t>
  </si>
  <si>
    <t>Образовательное
 учреждение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</si>
  <si>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</si>
  <si>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</si>
  <si>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</si>
  <si>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</si>
  <si>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</si>
  <si>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</si>
  <si>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</si>
  <si>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</si>
  <si>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</si>
  <si>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</si>
  <si>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</si>
  <si>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</si>
  <si>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</si>
  <si>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</si>
  <si>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</si>
  <si>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</si>
  <si>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</si>
  <si>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</si>
  <si>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</si>
  <si>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</si>
  <si>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</si>
  <si>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</si>
  <si>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</si>
  <si>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</si>
  <si>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</si>
  <si>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</si>
  <si>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</si>
  <si>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</si>
  <si>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</si>
  <si>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</si>
  <si>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</si>
  <si>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</si>
  <si>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</si>
  <si>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</si>
  <si>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</si>
  <si>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</si>
  <si>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</si>
  <si>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</si>
  <si>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</si>
  <si>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</si>
  <si>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</si>
  <si>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</si>
  <si>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</si>
  <si>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</si>
  <si>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</si>
  <si>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</si>
  <si>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</si>
  <si>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</si>
  <si>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</si>
  <si>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</si>
  <si>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</si>
  <si>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</si>
  <si>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</si>
  <si>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</si>
  <si>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</si>
  <si>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</si>
  <si>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</si>
  <si>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</si>
  <si>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</si>
  <si>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</si>
  <si>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</si>
  <si>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</si>
  <si>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</si>
  <si>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</si>
  <si>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</si>
  <si>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</si>
  <si>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Общая численность учителей без совместителей</t>
  </si>
  <si>
    <t xml:space="preserve">По недостающей информации обращаться к бухгалтеру-расчетчику </t>
  </si>
  <si>
    <t>средняя зпл учителя</t>
  </si>
  <si>
    <t>по расчету и тарификации</t>
  </si>
  <si>
    <t xml:space="preserve"> Орехово-Зуевский район информация для заполнения мониторинга за  октябрь  2012 года   (в тыс.руб)
(Информация дана без дошкольных отделений)</t>
  </si>
  <si>
    <t>дата: 06.11.2012 (исполнитель: Киркиж Л.И. 4 161-830)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</si>
</sst>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7"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2" fillId="1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2" fillId="23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64" fontId="3" fillId="25" borderId="13" xfId="0" applyNumberFormat="1" applyFont="1" applyFill="1" applyBorder="1" applyAlignment="1">
      <alignment/>
    </xf>
    <xf numFmtId="1" fontId="0" fillId="25" borderId="13" xfId="0" applyNumberFormat="1" applyFont="1" applyFill="1" applyBorder="1" applyAlignment="1">
      <alignment/>
    </xf>
    <xf numFmtId="1" fontId="3" fillId="25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64" fontId="3" fillId="15" borderId="13" xfId="0" applyNumberFormat="1" applyFont="1" applyFill="1" applyBorder="1" applyAlignment="1">
      <alignment/>
    </xf>
    <xf numFmtId="1" fontId="0" fillId="15" borderId="13" xfId="0" applyNumberFormat="1" applyFont="1" applyFill="1" applyBorder="1" applyAlignment="1">
      <alignment/>
    </xf>
    <xf numFmtId="1" fontId="3" fillId="15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3" fillId="24" borderId="17" xfId="0" applyNumberFormat="1" applyFont="1" applyFill="1" applyBorder="1" applyAlignment="1">
      <alignment/>
    </xf>
    <xf numFmtId="1" fontId="3" fillId="24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3" fillId="25" borderId="20" xfId="0" applyNumberFormat="1" applyFont="1" applyFill="1" applyBorder="1" applyAlignment="1">
      <alignment/>
    </xf>
    <xf numFmtId="164" fontId="3" fillId="15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3" fillId="24" borderId="24" xfId="0" applyNumberFormat="1" applyFont="1" applyFill="1" applyBorder="1" applyAlignment="1">
      <alignment/>
    </xf>
    <xf numFmtId="0" fontId="2" fillId="2" borderId="25" xfId="0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3" fillId="25" borderId="18" xfId="0" applyNumberFormat="1" applyFont="1" applyFill="1" applyBorder="1" applyAlignment="1">
      <alignment/>
    </xf>
    <xf numFmtId="1" fontId="3" fillId="15" borderId="18" xfId="0" applyNumberFormat="1" applyFont="1" applyFill="1" applyBorder="1" applyAlignment="1">
      <alignment/>
    </xf>
    <xf numFmtId="1" fontId="3" fillId="24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center"/>
    </xf>
    <xf numFmtId="164" fontId="3" fillId="0" borderId="29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3" fillId="25" borderId="29" xfId="0" applyNumberFormat="1" applyFont="1" applyFill="1" applyBorder="1" applyAlignment="1">
      <alignment/>
    </xf>
    <xf numFmtId="164" fontId="3" fillId="15" borderId="29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3" fillId="24" borderId="33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1" fontId="2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right"/>
    </xf>
    <xf numFmtId="0" fontId="0" fillId="15" borderId="12" xfId="0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/>
    </xf>
    <xf numFmtId="0" fontId="0" fillId="24" borderId="37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2" fillId="26" borderId="11" xfId="0" applyFont="1" applyFill="1" applyBorder="1" applyAlignment="1">
      <alignment horizontal="center" wrapText="1"/>
    </xf>
    <xf numFmtId="1" fontId="2" fillId="26" borderId="11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 wrapText="1"/>
    </xf>
    <xf numFmtId="0" fontId="2" fillId="26" borderId="38" xfId="0" applyFont="1" applyFill="1" applyBorder="1" applyAlignment="1">
      <alignment horizontal="center" wrapText="1"/>
    </xf>
    <xf numFmtId="0" fontId="2" fillId="26" borderId="39" xfId="0" applyFont="1" applyFill="1" applyBorder="1" applyAlignment="1">
      <alignment horizontal="center" wrapText="1"/>
    </xf>
    <xf numFmtId="164" fontId="0" fillId="0" borderId="34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25" borderId="12" xfId="0" applyNumberFormat="1" applyFont="1" applyFill="1" applyBorder="1" applyAlignment="1">
      <alignment horizontal="right"/>
    </xf>
    <xf numFmtId="164" fontId="0" fillId="15" borderId="12" xfId="0" applyNumberFormat="1" applyFont="1" applyFill="1" applyBorder="1" applyAlignment="1">
      <alignment horizontal="right"/>
    </xf>
    <xf numFmtId="164" fontId="3" fillId="24" borderId="13" xfId="0" applyNumberFormat="1" applyFont="1" applyFill="1" applyBorder="1" applyAlignment="1">
      <alignment/>
    </xf>
    <xf numFmtId="1" fontId="0" fillId="24" borderId="13" xfId="0" applyNumberFormat="1" applyFont="1" applyFill="1" applyBorder="1" applyAlignment="1">
      <alignment/>
    </xf>
    <xf numFmtId="1" fontId="3" fillId="24" borderId="13" xfId="0" applyNumberFormat="1" applyFont="1" applyFill="1" applyBorder="1" applyAlignment="1">
      <alignment/>
    </xf>
    <xf numFmtId="1" fontId="3" fillId="24" borderId="18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right"/>
    </xf>
    <xf numFmtId="164" fontId="3" fillId="24" borderId="29" xfId="0" applyNumberFormat="1" applyFont="1" applyFill="1" applyBorder="1" applyAlignment="1">
      <alignment/>
    </xf>
    <xf numFmtId="164" fontId="3" fillId="24" borderId="2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4" fontId="22" fillId="24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25" borderId="20" xfId="0" applyFont="1" applyFill="1" applyBorder="1" applyAlignment="1">
      <alignment horizontal="right"/>
    </xf>
    <xf numFmtId="0" fontId="0" fillId="15" borderId="20" xfId="0" applyFont="1" applyFill="1" applyBorder="1" applyAlignment="1">
      <alignment horizontal="right"/>
    </xf>
    <xf numFmtId="0" fontId="0" fillId="24" borderId="20" xfId="0" applyFont="1" applyFill="1" applyBorder="1" applyAlignment="1">
      <alignment horizontal="right"/>
    </xf>
    <xf numFmtId="1" fontId="0" fillId="24" borderId="2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15" borderId="12" xfId="0" applyFont="1" applyFill="1" applyBorder="1" applyAlignment="1">
      <alignment/>
    </xf>
    <xf numFmtId="0" fontId="3" fillId="15" borderId="13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5" fillId="24" borderId="37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164" fontId="0" fillId="15" borderId="0" xfId="0" applyNumberFormat="1" applyFont="1" applyFill="1" applyBorder="1" applyAlignment="1">
      <alignment/>
    </xf>
    <xf numFmtId="164" fontId="22" fillId="15" borderId="0" xfId="0" applyNumberFormat="1" applyFont="1" applyFill="1" applyBorder="1" applyAlignment="1">
      <alignment/>
    </xf>
    <xf numFmtId="164" fontId="23" fillId="15" borderId="0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="82" zoomScaleNormal="82" zoomScaleSheetLayoutView="65" zoomScalePageLayoutView="0" workbookViewId="0" topLeftCell="A2">
      <pane xSplit="2" ySplit="3" topLeftCell="C20" activePane="bottomRight" state="frozen"/>
      <selection pane="topLeft" activeCell="A2" sqref="A2"/>
      <selection pane="topRight" activeCell="C2" sqref="C2"/>
      <selection pane="bottomLeft" activeCell="A5" sqref="A5"/>
      <selection pane="bottomRight" activeCell="E11" sqref="E11"/>
    </sheetView>
  </sheetViews>
  <sheetFormatPr defaultColWidth="16.140625" defaultRowHeight="15"/>
  <cols>
    <col min="1" max="1" width="3.8515625" style="6" customWidth="1"/>
    <col min="2" max="2" width="31.7109375" style="4" customWidth="1"/>
    <col min="3" max="3" width="15.140625" style="4" customWidth="1"/>
    <col min="4" max="4" width="15.57421875" style="2" customWidth="1"/>
    <col min="5" max="5" width="17.140625" style="1" customWidth="1"/>
    <col min="6" max="6" width="16.8515625" style="6" customWidth="1"/>
    <col min="7" max="7" width="16.140625" style="6" hidden="1" customWidth="1"/>
    <col min="8" max="8" width="15.00390625" style="4" hidden="1" customWidth="1"/>
    <col min="9" max="9" width="18.7109375" style="4" hidden="1" customWidth="1"/>
    <col min="10" max="10" width="15.00390625" style="4" hidden="1" customWidth="1"/>
    <col min="11" max="11" width="14.140625" style="4" hidden="1" customWidth="1"/>
    <col min="12" max="12" width="15.140625" style="3" hidden="1" customWidth="1"/>
    <col min="13" max="13" width="13.421875" style="3" customWidth="1"/>
    <col min="14" max="14" width="13.8515625" style="3" customWidth="1"/>
    <col min="15" max="15" width="12.57421875" style="3" customWidth="1"/>
    <col min="16" max="16" width="18.421875" style="3" customWidth="1"/>
    <col min="17" max="17" width="13.28125" style="3" customWidth="1"/>
    <col min="18" max="18" width="14.8515625" style="3" customWidth="1"/>
    <col min="19" max="19" width="14.57421875" style="3" customWidth="1"/>
    <col min="20" max="22" width="14.421875" style="129" customWidth="1"/>
    <col min="23" max="23" width="16.421875" style="4" customWidth="1"/>
    <col min="24" max="24" width="11.00390625" style="4" customWidth="1"/>
    <col min="25" max="25" width="9.140625" style="4" customWidth="1"/>
    <col min="26" max="252" width="9.140625" style="3" customWidth="1"/>
    <col min="253" max="253" width="3.57421875" style="3" customWidth="1"/>
    <col min="254" max="254" width="29.140625" style="3" customWidth="1"/>
    <col min="255" max="255" width="14.00390625" style="3" customWidth="1"/>
    <col min="256" max="16384" width="16.140625" style="3" customWidth="1"/>
  </cols>
  <sheetData>
    <row r="1" spans="1:22" ht="52.5" customHeight="1">
      <c r="A1" s="10"/>
      <c r="B1" s="10"/>
      <c r="C1" s="10"/>
      <c r="D1" s="10"/>
      <c r="E1" s="10"/>
      <c r="F1" s="158" t="s">
        <v>72</v>
      </c>
      <c r="G1" s="158"/>
      <c r="H1" s="158"/>
      <c r="I1" s="158"/>
      <c r="J1" s="158"/>
      <c r="K1" s="158"/>
      <c r="L1" s="10"/>
      <c r="M1" s="10"/>
      <c r="N1" s="10"/>
      <c r="O1" s="10"/>
      <c r="P1" s="10"/>
      <c r="Q1" s="10"/>
      <c r="R1" s="10"/>
      <c r="S1" s="10"/>
      <c r="T1" s="126"/>
      <c r="U1" s="126"/>
      <c r="V1" s="126"/>
    </row>
    <row r="2" spans="1:22" ht="23.25" customHeight="1" thickBot="1">
      <c r="A2" s="11"/>
      <c r="B2" s="10"/>
      <c r="C2" s="12"/>
      <c r="D2" s="13"/>
      <c r="E2" s="14"/>
      <c r="F2" s="12"/>
      <c r="G2" s="12"/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27"/>
      <c r="U2" s="127"/>
      <c r="V2" s="127"/>
    </row>
    <row r="3" spans="1:25" ht="111.75" customHeight="1">
      <c r="A3" s="17" t="s">
        <v>0</v>
      </c>
      <c r="B3" s="18" t="s">
        <v>1</v>
      </c>
      <c r="C3" s="92" t="s">
        <v>52</v>
      </c>
      <c r="D3" s="93" t="s">
        <v>53</v>
      </c>
      <c r="E3" s="94" t="s">
        <v>54</v>
      </c>
      <c r="F3" s="92" t="s">
        <v>55</v>
      </c>
      <c r="G3" s="19" t="s">
        <v>56</v>
      </c>
      <c r="H3" s="19" t="s">
        <v>57</v>
      </c>
      <c r="I3" s="19" t="s">
        <v>58</v>
      </c>
      <c r="J3" s="20" t="s">
        <v>59</v>
      </c>
      <c r="K3" s="20" t="s">
        <v>60</v>
      </c>
      <c r="L3" s="66" t="s">
        <v>61</v>
      </c>
      <c r="M3" s="95" t="s">
        <v>67</v>
      </c>
      <c r="N3" s="96" t="s">
        <v>68</v>
      </c>
      <c r="O3" s="97" t="s">
        <v>62</v>
      </c>
      <c r="P3" s="92" t="s">
        <v>63</v>
      </c>
      <c r="Q3" s="92" t="s">
        <v>64</v>
      </c>
      <c r="R3" s="92" t="s">
        <v>65</v>
      </c>
      <c r="S3" s="96" t="s">
        <v>66</v>
      </c>
      <c r="T3" s="131" t="s">
        <v>70</v>
      </c>
      <c r="U3" s="131"/>
      <c r="V3" s="131"/>
      <c r="W3" s="112" t="s">
        <v>71</v>
      </c>
      <c r="X3" s="112"/>
      <c r="Y3" s="112"/>
    </row>
    <row r="4" spans="1:25" s="5" customFormat="1" ht="12" customHeight="1">
      <c r="A4" s="21">
        <v>1</v>
      </c>
      <c r="B4" s="22">
        <v>2</v>
      </c>
      <c r="C4" s="22">
        <v>3</v>
      </c>
      <c r="D4" s="23">
        <v>4</v>
      </c>
      <c r="E4" s="23">
        <v>5</v>
      </c>
      <c r="F4" s="24">
        <v>6</v>
      </c>
      <c r="G4" s="24">
        <v>7</v>
      </c>
      <c r="H4" s="22">
        <v>8</v>
      </c>
      <c r="I4" s="22">
        <v>9</v>
      </c>
      <c r="J4" s="22">
        <v>10</v>
      </c>
      <c r="K4" s="22">
        <v>11</v>
      </c>
      <c r="L4" s="52">
        <v>12</v>
      </c>
      <c r="M4" s="82">
        <v>13</v>
      </c>
      <c r="N4" s="117">
        <v>14</v>
      </c>
      <c r="O4" s="73">
        <v>15</v>
      </c>
      <c r="P4" s="25">
        <v>16</v>
      </c>
      <c r="Q4" s="25">
        <v>17</v>
      </c>
      <c r="R4" s="25">
        <v>18</v>
      </c>
      <c r="S4" s="57">
        <v>19</v>
      </c>
      <c r="T4" s="128"/>
      <c r="U4" s="128"/>
      <c r="V4" s="128"/>
      <c r="W4" s="113"/>
      <c r="X4" s="113"/>
      <c r="Y4" s="113"/>
    </row>
    <row r="5" spans="1:24" s="4" customFormat="1" ht="16.5" thickBot="1">
      <c r="A5" s="134">
        <v>1</v>
      </c>
      <c r="B5" s="135" t="s">
        <v>2</v>
      </c>
      <c r="C5" s="39">
        <v>44.969</v>
      </c>
      <c r="D5" s="40">
        <v>1</v>
      </c>
      <c r="E5" s="39"/>
      <c r="F5" s="40"/>
      <c r="G5" s="39">
        <v>0</v>
      </c>
      <c r="H5" s="40">
        <v>0</v>
      </c>
      <c r="I5" s="39">
        <v>0</v>
      </c>
      <c r="J5" s="40">
        <v>0</v>
      </c>
      <c r="K5" s="39"/>
      <c r="L5" s="68"/>
      <c r="M5" s="98">
        <v>44.969</v>
      </c>
      <c r="N5" s="118">
        <v>1</v>
      </c>
      <c r="O5" s="75"/>
      <c r="P5" s="40"/>
      <c r="Q5" s="39"/>
      <c r="R5" s="40"/>
      <c r="S5" s="59">
        <v>2</v>
      </c>
      <c r="T5" s="91">
        <f>ROUND((M5/N5),3)</f>
        <v>44.969</v>
      </c>
      <c r="U5" s="91"/>
      <c r="V5" s="91"/>
      <c r="W5" s="55"/>
      <c r="X5" s="55"/>
    </row>
    <row r="6" spans="1:24" s="4" customFormat="1" ht="16.5" thickBot="1">
      <c r="A6" s="152" t="s">
        <v>3</v>
      </c>
      <c r="B6" s="153"/>
      <c r="C6" s="46">
        <f aca="true" t="shared" si="0" ref="C6:S6">SUM(C5:C5)</f>
        <v>44.969</v>
      </c>
      <c r="D6" s="46">
        <f t="shared" si="0"/>
        <v>1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7">
        <f t="shared" si="0"/>
        <v>0</v>
      </c>
      <c r="I6" s="46">
        <f t="shared" si="0"/>
        <v>0</v>
      </c>
      <c r="J6" s="47">
        <f t="shared" si="0"/>
        <v>0</v>
      </c>
      <c r="K6" s="47">
        <f t="shared" si="0"/>
        <v>0</v>
      </c>
      <c r="L6" s="53">
        <f t="shared" si="0"/>
        <v>0</v>
      </c>
      <c r="M6" s="85">
        <f t="shared" si="0"/>
        <v>44.969</v>
      </c>
      <c r="N6" s="119">
        <f t="shared" si="0"/>
        <v>1</v>
      </c>
      <c r="O6" s="76">
        <f t="shared" si="0"/>
        <v>0</v>
      </c>
      <c r="P6" s="47">
        <f t="shared" si="0"/>
        <v>0</v>
      </c>
      <c r="Q6" s="47">
        <f t="shared" si="0"/>
        <v>0</v>
      </c>
      <c r="R6" s="47">
        <f t="shared" si="0"/>
        <v>0</v>
      </c>
      <c r="S6" s="60">
        <f t="shared" si="0"/>
        <v>2</v>
      </c>
      <c r="T6" s="91"/>
      <c r="U6" s="91"/>
      <c r="V6" s="91"/>
      <c r="W6" s="55"/>
      <c r="X6" s="55"/>
    </row>
    <row r="7" spans="1:24" s="4" customFormat="1" ht="15.75">
      <c r="A7" s="154" t="s">
        <v>4</v>
      </c>
      <c r="B7" s="155"/>
      <c r="C7" s="41"/>
      <c r="D7" s="42"/>
      <c r="E7" s="43"/>
      <c r="F7" s="42"/>
      <c r="G7" s="43"/>
      <c r="H7" s="44"/>
      <c r="I7" s="44"/>
      <c r="J7" s="45"/>
      <c r="K7" s="44"/>
      <c r="L7" s="69"/>
      <c r="M7" s="86"/>
      <c r="N7" s="120"/>
      <c r="O7" s="77"/>
      <c r="P7" s="45"/>
      <c r="Q7" s="44"/>
      <c r="R7" s="45"/>
      <c r="S7" s="61"/>
      <c r="T7" s="91"/>
      <c r="U7" s="91"/>
      <c r="V7" s="91"/>
      <c r="W7" s="55"/>
      <c r="X7" s="55"/>
    </row>
    <row r="8" spans="1:24" s="4" customFormat="1" ht="15.75">
      <c r="A8" s="132">
        <v>2</v>
      </c>
      <c r="B8" s="147" t="s">
        <v>5</v>
      </c>
      <c r="C8" s="26">
        <f>537.711-29.487</f>
        <v>508.224</v>
      </c>
      <c r="D8" s="31">
        <f>27-3</f>
        <v>24</v>
      </c>
      <c r="E8" s="26">
        <v>45087</v>
      </c>
      <c r="F8" s="27">
        <v>1</v>
      </c>
      <c r="G8" s="26">
        <v>0</v>
      </c>
      <c r="H8" s="27">
        <v>0</v>
      </c>
      <c r="I8" s="26">
        <v>0</v>
      </c>
      <c r="J8" s="27">
        <v>0</v>
      </c>
      <c r="K8" s="26">
        <v>0</v>
      </c>
      <c r="L8" s="67">
        <v>0</v>
      </c>
      <c r="M8" s="83">
        <v>367.905</v>
      </c>
      <c r="N8" s="121">
        <v>13</v>
      </c>
      <c r="O8" s="74">
        <v>0</v>
      </c>
      <c r="P8" s="27">
        <v>0</v>
      </c>
      <c r="Q8" s="26">
        <f>124.719-29.487</f>
        <v>95.232</v>
      </c>
      <c r="R8" s="27">
        <f>13-3</f>
        <v>10</v>
      </c>
      <c r="S8" s="58">
        <v>37</v>
      </c>
      <c r="T8" s="148">
        <f aca="true" t="shared" si="1" ref="T8:T53">ROUND((M8/N8),3)</f>
        <v>28.3</v>
      </c>
      <c r="U8" s="130"/>
      <c r="V8" s="130"/>
      <c r="W8" s="55"/>
      <c r="X8" s="55"/>
    </row>
    <row r="9" spans="1:24" s="4" customFormat="1" ht="15.75">
      <c r="A9" s="132">
        <v>3</v>
      </c>
      <c r="B9" s="147" t="s">
        <v>6</v>
      </c>
      <c r="C9" s="26">
        <v>562.828</v>
      </c>
      <c r="D9" s="99">
        <v>20</v>
      </c>
      <c r="E9" s="26">
        <v>48.85</v>
      </c>
      <c r="F9" s="27">
        <v>1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67">
        <v>0</v>
      </c>
      <c r="M9" s="83">
        <v>388.998</v>
      </c>
      <c r="N9" s="121">
        <v>10</v>
      </c>
      <c r="O9" s="74">
        <v>22.256</v>
      </c>
      <c r="P9" s="27">
        <v>1</v>
      </c>
      <c r="Q9" s="26">
        <v>102.724</v>
      </c>
      <c r="R9" s="27">
        <v>8</v>
      </c>
      <c r="S9" s="58">
        <v>80.807</v>
      </c>
      <c r="T9" s="91">
        <f t="shared" si="1"/>
        <v>38.9</v>
      </c>
      <c r="U9" s="91"/>
      <c r="V9" s="91"/>
      <c r="W9" s="55"/>
      <c r="X9" s="55"/>
    </row>
    <row r="10" spans="1:24" s="4" customFormat="1" ht="15.75">
      <c r="A10" s="132">
        <v>4</v>
      </c>
      <c r="B10" s="133" t="s">
        <v>7</v>
      </c>
      <c r="C10" s="26">
        <v>572.691</v>
      </c>
      <c r="D10" s="31">
        <v>23</v>
      </c>
      <c r="E10" s="26">
        <v>52.494</v>
      </c>
      <c r="F10" s="27">
        <v>1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67">
        <v>0</v>
      </c>
      <c r="M10" s="83">
        <v>384.121</v>
      </c>
      <c r="N10" s="121">
        <v>11</v>
      </c>
      <c r="O10" s="74">
        <v>31.208</v>
      </c>
      <c r="P10" s="27">
        <v>1</v>
      </c>
      <c r="Q10" s="26">
        <v>104.868</v>
      </c>
      <c r="R10" s="27">
        <v>10</v>
      </c>
      <c r="S10" s="58">
        <v>37</v>
      </c>
      <c r="T10" s="91">
        <f t="shared" si="1"/>
        <v>34.92</v>
      </c>
      <c r="U10" s="91"/>
      <c r="V10" s="91"/>
      <c r="W10" s="55"/>
      <c r="X10" s="56"/>
    </row>
    <row r="11" spans="1:24" s="4" customFormat="1" ht="15.75">
      <c r="A11" s="132">
        <v>5</v>
      </c>
      <c r="B11" s="133" t="s">
        <v>8</v>
      </c>
      <c r="C11" s="26">
        <v>444.276</v>
      </c>
      <c r="D11" s="31">
        <v>21</v>
      </c>
      <c r="E11" s="26">
        <v>74.456</v>
      </c>
      <c r="F11" s="27">
        <v>2</v>
      </c>
      <c r="G11" s="26">
        <v>0</v>
      </c>
      <c r="H11" s="27">
        <v>0</v>
      </c>
      <c r="I11" s="26">
        <v>0</v>
      </c>
      <c r="J11" s="27">
        <v>0</v>
      </c>
      <c r="K11" s="26">
        <v>0</v>
      </c>
      <c r="L11" s="67">
        <v>0</v>
      </c>
      <c r="M11" s="83">
        <v>248.378</v>
      </c>
      <c r="N11" s="121">
        <v>9</v>
      </c>
      <c r="O11" s="74">
        <v>47.849</v>
      </c>
      <c r="P11" s="27">
        <v>2</v>
      </c>
      <c r="Q11" s="26">
        <v>73.593</v>
      </c>
      <c r="R11" s="27">
        <v>8</v>
      </c>
      <c r="S11" s="58">
        <v>6.5</v>
      </c>
      <c r="T11" s="91">
        <f t="shared" si="1"/>
        <v>27.598</v>
      </c>
      <c r="U11" s="91"/>
      <c r="V11" s="91"/>
      <c r="W11" s="55"/>
      <c r="X11" s="56"/>
    </row>
    <row r="12" spans="1:24" s="4" customFormat="1" ht="15.75">
      <c r="A12" s="132">
        <v>6</v>
      </c>
      <c r="B12" s="133" t="s">
        <v>9</v>
      </c>
      <c r="C12" s="26">
        <f>521.821-13.24</f>
        <v>508.581</v>
      </c>
      <c r="D12" s="31">
        <f>19-2</f>
        <v>17</v>
      </c>
      <c r="E12" s="26">
        <v>62.958</v>
      </c>
      <c r="F12" s="27">
        <v>1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67">
        <v>0</v>
      </c>
      <c r="M12" s="100">
        <v>368.195</v>
      </c>
      <c r="N12" s="121">
        <v>9</v>
      </c>
      <c r="O12" s="74">
        <v>0</v>
      </c>
      <c r="P12" s="27"/>
      <c r="Q12" s="26">
        <f>90.668-13.24</f>
        <v>77.42800000000001</v>
      </c>
      <c r="R12" s="27">
        <f>9-2</f>
        <v>7</v>
      </c>
      <c r="S12" s="58">
        <v>58.192</v>
      </c>
      <c r="T12" s="91">
        <f t="shared" si="1"/>
        <v>40.911</v>
      </c>
      <c r="U12" s="91"/>
      <c r="V12" s="91"/>
      <c r="W12" s="55"/>
      <c r="X12" s="55"/>
    </row>
    <row r="13" spans="1:25" s="9" customFormat="1" ht="15.75">
      <c r="A13" s="132">
        <v>7</v>
      </c>
      <c r="B13" s="133" t="s">
        <v>10</v>
      </c>
      <c r="C13" s="28">
        <v>507.028</v>
      </c>
      <c r="D13" s="29">
        <v>22</v>
      </c>
      <c r="E13" s="28">
        <v>39.175</v>
      </c>
      <c r="F13" s="30">
        <v>1</v>
      </c>
      <c r="G13" s="28">
        <v>0</v>
      </c>
      <c r="H13" s="30">
        <v>0</v>
      </c>
      <c r="I13" s="28">
        <v>0</v>
      </c>
      <c r="J13" s="30">
        <v>0</v>
      </c>
      <c r="K13" s="28">
        <v>0</v>
      </c>
      <c r="L13" s="70">
        <v>0</v>
      </c>
      <c r="M13" s="101">
        <v>340.011</v>
      </c>
      <c r="N13" s="122">
        <v>10</v>
      </c>
      <c r="O13" s="78">
        <v>19.608</v>
      </c>
      <c r="P13" s="30">
        <v>1</v>
      </c>
      <c r="Q13" s="28">
        <v>108.234</v>
      </c>
      <c r="R13" s="30">
        <v>10</v>
      </c>
      <c r="S13" s="62">
        <v>43</v>
      </c>
      <c r="T13" s="91">
        <f t="shared" si="1"/>
        <v>34.001</v>
      </c>
      <c r="U13" s="91"/>
      <c r="V13" s="91"/>
      <c r="W13" s="55"/>
      <c r="X13" s="56"/>
      <c r="Y13" s="4"/>
    </row>
    <row r="14" spans="1:25" s="9" customFormat="1" ht="15.75">
      <c r="A14" s="132">
        <v>8</v>
      </c>
      <c r="B14" s="133" t="s">
        <v>11</v>
      </c>
      <c r="C14" s="28">
        <v>425.235</v>
      </c>
      <c r="D14" s="29">
        <v>18</v>
      </c>
      <c r="E14" s="28">
        <v>45.063</v>
      </c>
      <c r="F14" s="30">
        <v>1</v>
      </c>
      <c r="G14" s="28">
        <v>0</v>
      </c>
      <c r="H14" s="30">
        <v>0</v>
      </c>
      <c r="I14" s="28">
        <v>0</v>
      </c>
      <c r="J14" s="30">
        <v>0</v>
      </c>
      <c r="K14" s="28">
        <v>0</v>
      </c>
      <c r="L14" s="70">
        <v>0</v>
      </c>
      <c r="M14" s="101">
        <v>304.503</v>
      </c>
      <c r="N14" s="122">
        <v>9</v>
      </c>
      <c r="O14" s="78">
        <v>0</v>
      </c>
      <c r="P14" s="30"/>
      <c r="Q14" s="28">
        <v>75.669</v>
      </c>
      <c r="R14" s="30">
        <v>8</v>
      </c>
      <c r="S14" s="62">
        <v>40.784</v>
      </c>
      <c r="T14" s="91">
        <f t="shared" si="1"/>
        <v>33.834</v>
      </c>
      <c r="U14" s="91"/>
      <c r="V14" s="91"/>
      <c r="W14" s="55"/>
      <c r="X14" s="55"/>
      <c r="Y14" s="4"/>
    </row>
    <row r="15" spans="1:25" s="4" customFormat="1" ht="15.75">
      <c r="A15" s="132">
        <v>9</v>
      </c>
      <c r="B15" s="133" t="s">
        <v>12</v>
      </c>
      <c r="C15" s="26">
        <v>485.268</v>
      </c>
      <c r="D15" s="31">
        <v>18</v>
      </c>
      <c r="E15" s="26">
        <v>86.248</v>
      </c>
      <c r="F15" s="27">
        <v>2</v>
      </c>
      <c r="G15" s="26">
        <v>0</v>
      </c>
      <c r="H15" s="27">
        <v>0</v>
      </c>
      <c r="I15" s="26">
        <v>0</v>
      </c>
      <c r="J15" s="27">
        <v>0</v>
      </c>
      <c r="K15" s="26">
        <v>0</v>
      </c>
      <c r="L15" s="67">
        <v>0</v>
      </c>
      <c r="M15" s="100">
        <v>292.326</v>
      </c>
      <c r="N15" s="121">
        <v>9</v>
      </c>
      <c r="O15" s="74">
        <v>41.229</v>
      </c>
      <c r="P15" s="27">
        <v>1</v>
      </c>
      <c r="Q15" s="26">
        <v>65.465</v>
      </c>
      <c r="R15" s="27">
        <v>6</v>
      </c>
      <c r="S15" s="58">
        <v>4</v>
      </c>
      <c r="T15" s="91">
        <f t="shared" si="1"/>
        <v>32.481</v>
      </c>
      <c r="U15" s="91"/>
      <c r="V15" s="91"/>
      <c r="W15" s="55"/>
      <c r="X15" s="56"/>
      <c r="Y15" s="111"/>
    </row>
    <row r="16" spans="1:25" s="4" customFormat="1" ht="18.75" customHeight="1" thickBot="1">
      <c r="A16" s="132">
        <v>10</v>
      </c>
      <c r="B16" s="135" t="s">
        <v>13</v>
      </c>
      <c r="C16" s="39">
        <v>450.836</v>
      </c>
      <c r="D16" s="48">
        <v>15</v>
      </c>
      <c r="E16" s="39">
        <v>103.488</v>
      </c>
      <c r="F16" s="40">
        <v>2</v>
      </c>
      <c r="G16" s="39">
        <v>0</v>
      </c>
      <c r="H16" s="40">
        <v>0</v>
      </c>
      <c r="I16" s="39">
        <v>0</v>
      </c>
      <c r="J16" s="40">
        <v>0</v>
      </c>
      <c r="K16" s="39">
        <v>0</v>
      </c>
      <c r="L16" s="68">
        <v>0</v>
      </c>
      <c r="M16" s="98">
        <v>262.088</v>
      </c>
      <c r="N16" s="118">
        <v>8</v>
      </c>
      <c r="O16" s="75">
        <v>0</v>
      </c>
      <c r="P16" s="40">
        <v>0</v>
      </c>
      <c r="Q16" s="39">
        <v>54.34</v>
      </c>
      <c r="R16" s="40">
        <v>4</v>
      </c>
      <c r="S16" s="59">
        <v>30</v>
      </c>
      <c r="T16" s="91">
        <f t="shared" si="1"/>
        <v>32.761</v>
      </c>
      <c r="U16" s="91"/>
      <c r="V16" s="91"/>
      <c r="W16" s="55"/>
      <c r="X16" s="56"/>
      <c r="Y16" s="111"/>
    </row>
    <row r="17" spans="1:24" s="4" customFormat="1" ht="16.5" thickBot="1">
      <c r="A17" s="136" t="s">
        <v>14</v>
      </c>
      <c r="B17" s="137"/>
      <c r="C17" s="46">
        <f aca="true" t="shared" si="2" ref="C17:L17">SUM(C8:C16)</f>
        <v>4464.967</v>
      </c>
      <c r="D17" s="46">
        <f t="shared" si="2"/>
        <v>178</v>
      </c>
      <c r="E17" s="46">
        <f t="shared" si="2"/>
        <v>45599.731999999996</v>
      </c>
      <c r="F17" s="46">
        <f t="shared" si="2"/>
        <v>12</v>
      </c>
      <c r="G17" s="46">
        <f t="shared" si="2"/>
        <v>0</v>
      </c>
      <c r="H17" s="47">
        <f t="shared" si="2"/>
        <v>0</v>
      </c>
      <c r="I17" s="46">
        <f t="shared" si="2"/>
        <v>0</v>
      </c>
      <c r="J17" s="47">
        <f t="shared" si="2"/>
        <v>0</v>
      </c>
      <c r="K17" s="46">
        <f t="shared" si="2"/>
        <v>0</v>
      </c>
      <c r="L17" s="53">
        <f t="shared" si="2"/>
        <v>0</v>
      </c>
      <c r="M17" s="85">
        <f aca="true" t="shared" si="3" ref="M17:S17">SUM(M8:M16)</f>
        <v>2956.525</v>
      </c>
      <c r="N17" s="119">
        <f t="shared" si="3"/>
        <v>88</v>
      </c>
      <c r="O17" s="76">
        <f t="shared" si="3"/>
        <v>162.14999999999998</v>
      </c>
      <c r="P17" s="47">
        <f t="shared" si="3"/>
        <v>6</v>
      </c>
      <c r="Q17" s="47">
        <f t="shared" si="3"/>
        <v>757.5530000000001</v>
      </c>
      <c r="R17" s="47">
        <f t="shared" si="3"/>
        <v>71</v>
      </c>
      <c r="S17" s="60">
        <f t="shared" si="3"/>
        <v>337.283</v>
      </c>
      <c r="T17" s="91"/>
      <c r="U17" s="91"/>
      <c r="V17" s="91"/>
      <c r="W17" s="55"/>
      <c r="X17" s="56"/>
    </row>
    <row r="18" spans="1:24" s="4" customFormat="1" ht="15.75">
      <c r="A18" s="138"/>
      <c r="B18" s="139" t="s">
        <v>15</v>
      </c>
      <c r="C18" s="49"/>
      <c r="D18" s="42"/>
      <c r="E18" s="43"/>
      <c r="F18" s="42"/>
      <c r="G18" s="43"/>
      <c r="H18" s="44"/>
      <c r="I18" s="44"/>
      <c r="J18" s="45"/>
      <c r="K18" s="44"/>
      <c r="L18" s="69"/>
      <c r="M18" s="86"/>
      <c r="N18" s="120"/>
      <c r="O18" s="77"/>
      <c r="P18" s="45"/>
      <c r="Q18" s="44"/>
      <c r="R18" s="45"/>
      <c r="S18" s="61"/>
      <c r="T18" s="91"/>
      <c r="U18" s="91"/>
      <c r="V18" s="91"/>
      <c r="W18" s="55"/>
      <c r="X18" s="55"/>
    </row>
    <row r="19" spans="1:25" s="9" customFormat="1" ht="15.75">
      <c r="A19" s="140">
        <v>11</v>
      </c>
      <c r="B19" s="133" t="s">
        <v>16</v>
      </c>
      <c r="C19" s="28">
        <f>1594.346-26.304</f>
        <v>1568.042</v>
      </c>
      <c r="D19" s="29">
        <f>57-4</f>
        <v>53</v>
      </c>
      <c r="E19" s="28">
        <v>253.169</v>
      </c>
      <c r="F19" s="30">
        <v>6</v>
      </c>
      <c r="G19" s="28">
        <v>0</v>
      </c>
      <c r="H19" s="30">
        <v>0</v>
      </c>
      <c r="I19" s="28">
        <v>0</v>
      </c>
      <c r="J19" s="30">
        <v>0</v>
      </c>
      <c r="K19" s="28">
        <v>0</v>
      </c>
      <c r="L19" s="70">
        <v>0</v>
      </c>
      <c r="M19" s="87">
        <v>1116.402</v>
      </c>
      <c r="N19" s="122">
        <v>32</v>
      </c>
      <c r="O19" s="78">
        <v>77.149</v>
      </c>
      <c r="P19" s="30">
        <v>4</v>
      </c>
      <c r="Q19" s="28">
        <f>147.626-26.304</f>
        <v>121.322</v>
      </c>
      <c r="R19" s="30">
        <f>15-4</f>
        <v>11</v>
      </c>
      <c r="S19" s="62">
        <v>130</v>
      </c>
      <c r="T19" s="91">
        <f t="shared" si="1"/>
        <v>34.888</v>
      </c>
      <c r="U19" s="91"/>
      <c r="V19" s="91"/>
      <c r="W19" s="55"/>
      <c r="X19" s="55"/>
      <c r="Y19" s="4"/>
    </row>
    <row r="20" spans="1:24" s="4" customFormat="1" ht="15.75">
      <c r="A20" s="140">
        <v>12</v>
      </c>
      <c r="B20" s="133" t="s">
        <v>17</v>
      </c>
      <c r="C20" s="26">
        <f>750.21-8.01</f>
        <v>742.2</v>
      </c>
      <c r="D20" s="31">
        <f>30-1</f>
        <v>29</v>
      </c>
      <c r="E20" s="26">
        <v>119.123</v>
      </c>
      <c r="F20" s="27">
        <v>3</v>
      </c>
      <c r="G20" s="26">
        <v>0</v>
      </c>
      <c r="H20" s="27">
        <v>0</v>
      </c>
      <c r="I20" s="26">
        <v>0</v>
      </c>
      <c r="J20" s="27">
        <v>0</v>
      </c>
      <c r="K20" s="26">
        <v>0</v>
      </c>
      <c r="L20" s="67">
        <v>0</v>
      </c>
      <c r="M20" s="83">
        <v>489.39</v>
      </c>
      <c r="N20" s="121">
        <v>15</v>
      </c>
      <c r="O20" s="74">
        <v>58.11</v>
      </c>
      <c r="P20" s="27">
        <v>3</v>
      </c>
      <c r="Q20" s="26">
        <f>83.587-8.01</f>
        <v>75.577</v>
      </c>
      <c r="R20" s="27">
        <f>9-1</f>
        <v>8</v>
      </c>
      <c r="S20" s="58">
        <v>15.267</v>
      </c>
      <c r="T20" s="91">
        <f t="shared" si="1"/>
        <v>32.626</v>
      </c>
      <c r="U20" s="91"/>
      <c r="V20" s="91"/>
      <c r="W20" s="55"/>
      <c r="X20" s="55"/>
    </row>
    <row r="21" spans="1:25" s="8" customFormat="1" ht="15.75">
      <c r="A21" s="141">
        <v>13</v>
      </c>
      <c r="B21" s="142" t="s">
        <v>18</v>
      </c>
      <c r="C21" s="32">
        <f>1291.379+18-198.27-7.336</f>
        <v>1103.773</v>
      </c>
      <c r="D21" s="33">
        <f>52+2-16-1</f>
        <v>37</v>
      </c>
      <c r="E21" s="32">
        <f>298.7+31.293-31.294</f>
        <v>298.699</v>
      </c>
      <c r="F21" s="34">
        <f>4+1-1</f>
        <v>4</v>
      </c>
      <c r="G21" s="32">
        <v>0</v>
      </c>
      <c r="H21" s="34">
        <v>0</v>
      </c>
      <c r="I21" s="32">
        <v>0</v>
      </c>
      <c r="J21" s="34">
        <v>0</v>
      </c>
      <c r="K21" s="32">
        <v>0</v>
      </c>
      <c r="L21" s="71">
        <v>0</v>
      </c>
      <c r="M21" s="88">
        <v>551.759</v>
      </c>
      <c r="N21" s="123">
        <v>16</v>
      </c>
      <c r="O21" s="79">
        <f>173.303-60.25-3.107</f>
        <v>109.946</v>
      </c>
      <c r="P21" s="34">
        <f>7-3-1</f>
        <v>3</v>
      </c>
      <c r="Q21" s="32">
        <f>236.324+18-7.336-9-12.466-38.817-9-34.336</f>
        <v>143.36899999999997</v>
      </c>
      <c r="R21" s="34">
        <f>24+2-1-1-4-1-4-1</f>
        <v>14</v>
      </c>
      <c r="S21" s="63">
        <v>101</v>
      </c>
      <c r="T21" s="91">
        <f t="shared" si="1"/>
        <v>34.485</v>
      </c>
      <c r="U21" s="91"/>
      <c r="V21" s="91"/>
      <c r="W21" s="55"/>
      <c r="X21" s="55"/>
      <c r="Y21" s="4"/>
    </row>
    <row r="22" spans="1:24" s="4" customFormat="1" ht="15.75">
      <c r="A22" s="140">
        <v>14</v>
      </c>
      <c r="B22" s="133" t="s">
        <v>19</v>
      </c>
      <c r="C22" s="26">
        <v>550.379</v>
      </c>
      <c r="D22" s="31">
        <v>24</v>
      </c>
      <c r="E22" s="26">
        <v>59.891</v>
      </c>
      <c r="F22" s="27">
        <v>2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67">
        <v>0</v>
      </c>
      <c r="M22" s="83">
        <v>375.663</v>
      </c>
      <c r="N22" s="121">
        <v>11</v>
      </c>
      <c r="O22" s="74"/>
      <c r="P22" s="27"/>
      <c r="Q22" s="26">
        <v>114.825</v>
      </c>
      <c r="R22" s="27">
        <v>11</v>
      </c>
      <c r="S22" s="58">
        <v>42</v>
      </c>
      <c r="T22" s="91">
        <f t="shared" si="1"/>
        <v>34.151</v>
      </c>
      <c r="U22" s="91"/>
      <c r="V22" s="91"/>
      <c r="W22" s="55"/>
      <c r="X22" s="55"/>
    </row>
    <row r="23" spans="1:25" s="8" customFormat="1" ht="15.75">
      <c r="A23" s="141">
        <v>15</v>
      </c>
      <c r="B23" s="142" t="s">
        <v>20</v>
      </c>
      <c r="C23" s="32">
        <f>951.555+57.313-14.506-106.286</f>
        <v>888.076</v>
      </c>
      <c r="D23" s="33">
        <f>38+5-2-7</f>
        <v>34</v>
      </c>
      <c r="E23" s="32">
        <v>114.937</v>
      </c>
      <c r="F23" s="34">
        <v>3</v>
      </c>
      <c r="G23" s="32">
        <v>0</v>
      </c>
      <c r="H23" s="34">
        <v>0</v>
      </c>
      <c r="I23" s="32">
        <v>0</v>
      </c>
      <c r="J23" s="34">
        <v>0</v>
      </c>
      <c r="K23" s="32">
        <v>0</v>
      </c>
      <c r="L23" s="71">
        <v>0</v>
      </c>
      <c r="M23" s="88">
        <v>620.271</v>
      </c>
      <c r="N23" s="123">
        <v>17</v>
      </c>
      <c r="O23" s="79">
        <f>63.227+21.606-43.799</f>
        <v>41.034</v>
      </c>
      <c r="P23" s="34">
        <f>3+1-3</f>
        <v>1</v>
      </c>
      <c r="Q23" s="32">
        <f>153.12+35.707-14.506-62.486</f>
        <v>111.83500000000001</v>
      </c>
      <c r="R23" s="34">
        <f>15+4-2-4</f>
        <v>13</v>
      </c>
      <c r="S23" s="63">
        <v>22.279</v>
      </c>
      <c r="T23" s="91">
        <f t="shared" si="1"/>
        <v>36.487</v>
      </c>
      <c r="U23" s="91"/>
      <c r="V23" s="91"/>
      <c r="W23" s="55"/>
      <c r="X23" s="55"/>
      <c r="Y23" s="4"/>
    </row>
    <row r="24" spans="1:24" s="4" customFormat="1" ht="15.75">
      <c r="A24" s="140">
        <v>16</v>
      </c>
      <c r="B24" s="133" t="s">
        <v>21</v>
      </c>
      <c r="C24" s="26">
        <f>1259.06-2.22-17.112</f>
        <v>1239.7279999999998</v>
      </c>
      <c r="D24" s="31">
        <f>50-1-1</f>
        <v>48</v>
      </c>
      <c r="E24" s="26">
        <v>211.919</v>
      </c>
      <c r="F24" s="27">
        <v>5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67">
        <v>0</v>
      </c>
      <c r="M24" s="100">
        <v>839.249</v>
      </c>
      <c r="N24" s="121">
        <f>27-1-1</f>
        <v>25</v>
      </c>
      <c r="O24" s="74">
        <v>56.002</v>
      </c>
      <c r="P24" s="27">
        <v>3</v>
      </c>
      <c r="Q24" s="26">
        <v>151.89</v>
      </c>
      <c r="R24" s="27">
        <v>15</v>
      </c>
      <c r="S24" s="58">
        <v>94.221</v>
      </c>
      <c r="T24" s="91">
        <f t="shared" si="1"/>
        <v>33.57</v>
      </c>
      <c r="U24" s="91"/>
      <c r="V24" s="91"/>
      <c r="W24" s="55"/>
      <c r="X24" s="55"/>
    </row>
    <row r="25" spans="1:24" s="4" customFormat="1" ht="15.75">
      <c r="A25" s="140">
        <v>17</v>
      </c>
      <c r="B25" s="133" t="s">
        <v>22</v>
      </c>
      <c r="C25" s="26">
        <v>901.104</v>
      </c>
      <c r="D25" s="31">
        <v>33</v>
      </c>
      <c r="E25" s="26">
        <v>104.05</v>
      </c>
      <c r="F25" s="27">
        <v>2</v>
      </c>
      <c r="G25" s="26">
        <v>0</v>
      </c>
      <c r="H25" s="27">
        <v>0</v>
      </c>
      <c r="I25" s="26">
        <v>0</v>
      </c>
      <c r="J25" s="27">
        <v>0</v>
      </c>
      <c r="K25" s="26">
        <v>0</v>
      </c>
      <c r="L25" s="67">
        <v>0</v>
      </c>
      <c r="M25" s="100">
        <v>625.755</v>
      </c>
      <c r="N25" s="121">
        <v>19</v>
      </c>
      <c r="O25" s="74">
        <v>77.233</v>
      </c>
      <c r="P25" s="27">
        <v>3</v>
      </c>
      <c r="Q25" s="26">
        <v>94.066</v>
      </c>
      <c r="R25" s="27">
        <v>9</v>
      </c>
      <c r="S25" s="58">
        <v>114</v>
      </c>
      <c r="T25" s="91">
        <f t="shared" si="1"/>
        <v>32.934</v>
      </c>
      <c r="U25" s="91"/>
      <c r="V25" s="91"/>
      <c r="W25" s="55"/>
      <c r="X25" s="55"/>
    </row>
    <row r="26" spans="1:24" s="4" customFormat="1" ht="15.75">
      <c r="A26" s="140">
        <v>18</v>
      </c>
      <c r="B26" s="133" t="s">
        <v>23</v>
      </c>
      <c r="C26" s="26">
        <v>826.134</v>
      </c>
      <c r="D26" s="31">
        <v>30</v>
      </c>
      <c r="E26" s="26">
        <v>141.424</v>
      </c>
      <c r="F26" s="27">
        <v>3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67">
        <v>0</v>
      </c>
      <c r="M26" s="100">
        <v>481.054</v>
      </c>
      <c r="N26" s="121">
        <v>13</v>
      </c>
      <c r="O26" s="74">
        <v>89.88</v>
      </c>
      <c r="P26" s="27">
        <v>3</v>
      </c>
      <c r="Q26" s="26">
        <v>113.776</v>
      </c>
      <c r="R26" s="27">
        <v>11</v>
      </c>
      <c r="S26" s="58">
        <v>57</v>
      </c>
      <c r="T26" s="91">
        <f t="shared" si="1"/>
        <v>37.004</v>
      </c>
      <c r="U26" s="91"/>
      <c r="V26" s="91"/>
      <c r="W26" s="55"/>
      <c r="X26" s="55"/>
    </row>
    <row r="27" spans="1:25" s="4" customFormat="1" ht="15.75">
      <c r="A27" s="140">
        <v>19</v>
      </c>
      <c r="B27" s="133" t="s">
        <v>24</v>
      </c>
      <c r="C27" s="26">
        <f>858.195-20.98-9.769</f>
        <v>827.446</v>
      </c>
      <c r="D27" s="31">
        <f>28-2</f>
        <v>26</v>
      </c>
      <c r="E27" s="26">
        <v>148.491</v>
      </c>
      <c r="F27" s="27">
        <v>3</v>
      </c>
      <c r="G27" s="26">
        <v>0</v>
      </c>
      <c r="H27" s="27">
        <v>0</v>
      </c>
      <c r="I27" s="26">
        <v>0</v>
      </c>
      <c r="J27" s="27">
        <v>0</v>
      </c>
      <c r="K27" s="26">
        <v>0</v>
      </c>
      <c r="L27" s="67">
        <v>0</v>
      </c>
      <c r="M27" s="100">
        <f>487.866-20.98</f>
        <v>466.88599999999997</v>
      </c>
      <c r="N27" s="121">
        <f>12-1</f>
        <v>11</v>
      </c>
      <c r="O27" s="74">
        <v>122.294</v>
      </c>
      <c r="P27" s="27">
        <v>3</v>
      </c>
      <c r="Q27" s="26">
        <v>99.544</v>
      </c>
      <c r="R27" s="27">
        <f>10-1</f>
        <v>9</v>
      </c>
      <c r="S27" s="58">
        <v>6</v>
      </c>
      <c r="T27" s="91">
        <f t="shared" si="1"/>
        <v>42.444</v>
      </c>
      <c r="U27" s="91"/>
      <c r="V27" s="91"/>
      <c r="W27" s="55"/>
      <c r="X27" s="56"/>
      <c r="Y27" s="111"/>
    </row>
    <row r="28" spans="1:24" s="4" customFormat="1" ht="15.75">
      <c r="A28" s="140">
        <v>20</v>
      </c>
      <c r="B28" s="133" t="s">
        <v>25</v>
      </c>
      <c r="C28" s="26">
        <v>832.702</v>
      </c>
      <c r="D28" s="31">
        <v>27</v>
      </c>
      <c r="E28" s="26">
        <v>63.029</v>
      </c>
      <c r="F28" s="27">
        <v>2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67">
        <v>0</v>
      </c>
      <c r="M28" s="100">
        <v>590.714</v>
      </c>
      <c r="N28" s="121">
        <v>14</v>
      </c>
      <c r="O28" s="74">
        <v>56.29</v>
      </c>
      <c r="P28" s="27">
        <v>2</v>
      </c>
      <c r="Q28" s="26">
        <v>122.669</v>
      </c>
      <c r="R28" s="27">
        <v>9</v>
      </c>
      <c r="S28" s="58">
        <v>55</v>
      </c>
      <c r="T28" s="91">
        <f t="shared" si="1"/>
        <v>42.194</v>
      </c>
      <c r="U28" s="91"/>
      <c r="V28" s="91"/>
      <c r="W28" s="55"/>
      <c r="X28" s="56"/>
    </row>
    <row r="29" spans="1:24" s="8" customFormat="1" ht="15.75">
      <c r="A29" s="141">
        <v>21</v>
      </c>
      <c r="B29" s="142" t="s">
        <v>26</v>
      </c>
      <c r="C29" s="32">
        <f>3409.063+116.513-715.932-41.484</f>
        <v>2768.1600000000003</v>
      </c>
      <c r="D29" s="33">
        <f>128+7-40-5</f>
        <v>90</v>
      </c>
      <c r="E29" s="32">
        <f>457.781-44.17</f>
        <v>413.611</v>
      </c>
      <c r="F29" s="34">
        <f>8-1</f>
        <v>7</v>
      </c>
      <c r="G29" s="32">
        <v>0</v>
      </c>
      <c r="H29" s="34">
        <v>0</v>
      </c>
      <c r="I29" s="32">
        <v>0</v>
      </c>
      <c r="J29" s="34">
        <v>0</v>
      </c>
      <c r="K29" s="32">
        <v>0</v>
      </c>
      <c r="L29" s="71">
        <v>0</v>
      </c>
      <c r="M29" s="102">
        <v>1690.826</v>
      </c>
      <c r="N29" s="123">
        <v>43</v>
      </c>
      <c r="O29" s="79">
        <f>722.62+12.113-425.16-10.825</f>
        <v>298.74799999999993</v>
      </c>
      <c r="P29" s="34">
        <f>31+1-20-1</f>
        <v>11</v>
      </c>
      <c r="Q29" s="32">
        <f>537.836+104.4-246.601-21.522</f>
        <v>374.113</v>
      </c>
      <c r="R29" s="34">
        <f>46+6-3-19</f>
        <v>30</v>
      </c>
      <c r="S29" s="63">
        <v>255.141</v>
      </c>
      <c r="T29" s="149">
        <f t="shared" si="1"/>
        <v>39.322</v>
      </c>
      <c r="U29" s="149"/>
      <c r="V29" s="149"/>
      <c r="W29" s="150"/>
      <c r="X29" s="151"/>
    </row>
    <row r="30" spans="1:24" s="4" customFormat="1" ht="15.75">
      <c r="A30" s="140">
        <v>22</v>
      </c>
      <c r="B30" s="133" t="s">
        <v>27</v>
      </c>
      <c r="C30" s="26">
        <f>1734.809+18.851-30.855</f>
        <v>1722.8049999999998</v>
      </c>
      <c r="D30" s="31">
        <f>59-3</f>
        <v>56</v>
      </c>
      <c r="E30" s="26">
        <v>320.414</v>
      </c>
      <c r="F30" s="27">
        <v>7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67">
        <v>0</v>
      </c>
      <c r="M30" s="100">
        <v>1029.433</v>
      </c>
      <c r="N30" s="121">
        <v>29</v>
      </c>
      <c r="O30" s="74">
        <f>229.837+18.851-22.412</f>
        <v>226.27599999999998</v>
      </c>
      <c r="P30" s="27">
        <f>10-2</f>
        <v>8</v>
      </c>
      <c r="Q30" s="26">
        <f>155.125-8.443</f>
        <v>146.682</v>
      </c>
      <c r="R30" s="27">
        <f>13</f>
        <v>13</v>
      </c>
      <c r="S30" s="58">
        <v>129.165</v>
      </c>
      <c r="T30" s="91">
        <f t="shared" si="1"/>
        <v>35.498</v>
      </c>
      <c r="U30" s="91"/>
      <c r="V30" s="91"/>
      <c r="W30" s="55"/>
      <c r="X30" s="55"/>
    </row>
    <row r="31" spans="1:24" s="4" customFormat="1" ht="15.75">
      <c r="A31" s="140">
        <v>23</v>
      </c>
      <c r="B31" s="133" t="s">
        <v>28</v>
      </c>
      <c r="C31" s="26">
        <f>2202.842-7.19</f>
        <v>2195.652</v>
      </c>
      <c r="D31" s="31">
        <f>70-1</f>
        <v>69</v>
      </c>
      <c r="E31" s="26">
        <v>520.126</v>
      </c>
      <c r="F31" s="27">
        <v>8</v>
      </c>
      <c r="G31" s="26">
        <v>0</v>
      </c>
      <c r="H31" s="27">
        <v>0</v>
      </c>
      <c r="I31" s="26">
        <v>0</v>
      </c>
      <c r="J31" s="27">
        <v>0</v>
      </c>
      <c r="K31" s="26">
        <v>0</v>
      </c>
      <c r="L31" s="67">
        <v>0</v>
      </c>
      <c r="M31" s="100">
        <v>1400.805</v>
      </c>
      <c r="N31" s="121">
        <v>40</v>
      </c>
      <c r="O31" s="74">
        <v>38.338</v>
      </c>
      <c r="P31" s="27">
        <v>1</v>
      </c>
      <c r="Q31" s="26">
        <f>243.573-7.19</f>
        <v>236.383</v>
      </c>
      <c r="R31" s="27">
        <f>21-1</f>
        <v>20</v>
      </c>
      <c r="S31" s="58">
        <v>238</v>
      </c>
      <c r="T31" s="91">
        <f t="shared" si="1"/>
        <v>35.02</v>
      </c>
      <c r="U31" s="91"/>
      <c r="V31" s="91"/>
      <c r="W31" s="55"/>
      <c r="X31" s="55"/>
    </row>
    <row r="32" spans="1:24" s="4" customFormat="1" ht="16.5" thickBot="1">
      <c r="A32" s="134">
        <v>24</v>
      </c>
      <c r="B32" s="135" t="s">
        <v>29</v>
      </c>
      <c r="C32" s="39">
        <f>713.157+19.891-4.245</f>
        <v>728.803</v>
      </c>
      <c r="D32" s="48">
        <f>31-1</f>
        <v>30</v>
      </c>
      <c r="E32" s="39">
        <v>127.476</v>
      </c>
      <c r="F32" s="40">
        <v>2</v>
      </c>
      <c r="G32" s="39">
        <v>0</v>
      </c>
      <c r="H32" s="40">
        <v>0</v>
      </c>
      <c r="I32" s="39">
        <v>0</v>
      </c>
      <c r="J32" s="40">
        <v>0</v>
      </c>
      <c r="K32" s="39">
        <v>0</v>
      </c>
      <c r="L32" s="68">
        <v>0</v>
      </c>
      <c r="M32" s="98">
        <v>444.627</v>
      </c>
      <c r="N32" s="118">
        <v>16</v>
      </c>
      <c r="O32" s="75">
        <v>47.531</v>
      </c>
      <c r="P32" s="40">
        <v>2</v>
      </c>
      <c r="Q32" s="39">
        <f>93.523-4.245</f>
        <v>89.27799999999999</v>
      </c>
      <c r="R32" s="40">
        <f>11-1</f>
        <v>10</v>
      </c>
      <c r="S32" s="59">
        <v>6</v>
      </c>
      <c r="T32" s="91">
        <f t="shared" si="1"/>
        <v>27.789</v>
      </c>
      <c r="U32" s="91"/>
      <c r="V32" s="91"/>
      <c r="W32" s="55"/>
      <c r="X32" s="55"/>
    </row>
    <row r="33" spans="1:24" s="4" customFormat="1" ht="16.5" thickBot="1">
      <c r="A33" s="136" t="s">
        <v>30</v>
      </c>
      <c r="B33" s="137"/>
      <c r="C33" s="46">
        <f aca="true" t="shared" si="4" ref="C33:S33">SUM(C19:C32)</f>
        <v>16895.004</v>
      </c>
      <c r="D33" s="46">
        <f t="shared" si="4"/>
        <v>586</v>
      </c>
      <c r="E33" s="46">
        <f t="shared" si="4"/>
        <v>2896.359</v>
      </c>
      <c r="F33" s="46">
        <f t="shared" si="4"/>
        <v>57</v>
      </c>
      <c r="G33" s="46">
        <f t="shared" si="4"/>
        <v>0</v>
      </c>
      <c r="H33" s="47">
        <f t="shared" si="4"/>
        <v>0</v>
      </c>
      <c r="I33" s="46">
        <f t="shared" si="4"/>
        <v>0</v>
      </c>
      <c r="J33" s="47">
        <f t="shared" si="4"/>
        <v>0</v>
      </c>
      <c r="K33" s="46">
        <f t="shared" si="4"/>
        <v>0</v>
      </c>
      <c r="L33" s="53">
        <f t="shared" si="4"/>
        <v>0</v>
      </c>
      <c r="M33" s="85">
        <f t="shared" si="4"/>
        <v>10722.834</v>
      </c>
      <c r="N33" s="119">
        <f t="shared" si="4"/>
        <v>301</v>
      </c>
      <c r="O33" s="76">
        <f t="shared" si="4"/>
        <v>1298.831</v>
      </c>
      <c r="P33" s="47">
        <f t="shared" si="4"/>
        <v>47</v>
      </c>
      <c r="Q33" s="47">
        <f t="shared" si="4"/>
        <v>1995.3290000000002</v>
      </c>
      <c r="R33" s="47">
        <f t="shared" si="4"/>
        <v>183</v>
      </c>
      <c r="S33" s="47">
        <f t="shared" si="4"/>
        <v>1265.0729999999999</v>
      </c>
      <c r="T33" s="91"/>
      <c r="U33" s="91"/>
      <c r="V33" s="91"/>
      <c r="W33" s="55"/>
      <c r="X33" s="55"/>
    </row>
    <row r="34" spans="1:24" s="4" customFormat="1" ht="16.5" thickBot="1">
      <c r="A34" s="136" t="s">
        <v>31</v>
      </c>
      <c r="B34" s="137"/>
      <c r="C34" s="46">
        <f>C33+C17+C6</f>
        <v>21404.940000000002</v>
      </c>
      <c r="D34" s="46">
        <f>D33+D17+D6</f>
        <v>765</v>
      </c>
      <c r="E34" s="46">
        <f>E33+E17+E6</f>
        <v>48496.09099999999</v>
      </c>
      <c r="F34" s="46">
        <f>F33+F17+F6</f>
        <v>69</v>
      </c>
      <c r="G34" s="46">
        <f aca="true" t="shared" si="5" ref="G34:Q34">G6+G17+G33</f>
        <v>0</v>
      </c>
      <c r="H34" s="47">
        <f t="shared" si="5"/>
        <v>0</v>
      </c>
      <c r="I34" s="46">
        <f t="shared" si="5"/>
        <v>0</v>
      </c>
      <c r="J34" s="47">
        <f t="shared" si="5"/>
        <v>0</v>
      </c>
      <c r="K34" s="46">
        <f t="shared" si="5"/>
        <v>0</v>
      </c>
      <c r="L34" s="53">
        <f t="shared" si="5"/>
        <v>0</v>
      </c>
      <c r="M34" s="85">
        <f t="shared" si="5"/>
        <v>13724.328000000001</v>
      </c>
      <c r="N34" s="119">
        <f t="shared" si="5"/>
        <v>390</v>
      </c>
      <c r="O34" s="76">
        <f t="shared" si="5"/>
        <v>1460.9809999999998</v>
      </c>
      <c r="P34" s="47">
        <f t="shared" si="5"/>
        <v>53</v>
      </c>
      <c r="Q34" s="47">
        <f t="shared" si="5"/>
        <v>2752.8820000000005</v>
      </c>
      <c r="R34" s="47">
        <f>R6+R17+R33</f>
        <v>254</v>
      </c>
      <c r="S34" s="47">
        <f>S6+S17+S33</f>
        <v>1604.3559999999998</v>
      </c>
      <c r="T34" s="91"/>
      <c r="U34" s="91"/>
      <c r="V34" s="91"/>
      <c r="W34" s="55"/>
      <c r="X34" s="55"/>
    </row>
    <row r="35" spans="1:24" s="4" customFormat="1" ht="15.75">
      <c r="A35" s="138"/>
      <c r="B35" s="139" t="s">
        <v>32</v>
      </c>
      <c r="C35" s="49"/>
      <c r="D35" s="42"/>
      <c r="E35" s="43"/>
      <c r="F35" s="42"/>
      <c r="G35" s="43"/>
      <c r="H35" s="44"/>
      <c r="I35" s="44"/>
      <c r="J35" s="45"/>
      <c r="K35" s="44"/>
      <c r="L35" s="69"/>
      <c r="M35" s="86"/>
      <c r="N35" s="120"/>
      <c r="O35" s="77"/>
      <c r="P35" s="45"/>
      <c r="Q35" s="44"/>
      <c r="R35" s="45"/>
      <c r="S35" s="61"/>
      <c r="T35" s="91"/>
      <c r="U35" s="91"/>
      <c r="V35" s="91"/>
      <c r="W35" s="55"/>
      <c r="X35" s="55"/>
    </row>
    <row r="36" spans="1:24" s="4" customFormat="1" ht="15.75">
      <c r="A36" s="140">
        <v>25</v>
      </c>
      <c r="B36" s="133" t="s">
        <v>33</v>
      </c>
      <c r="C36" s="26">
        <f>898.169-42.927-6.943</f>
        <v>848.299</v>
      </c>
      <c r="D36" s="31">
        <f>43-7</f>
        <v>36</v>
      </c>
      <c r="E36" s="26">
        <v>237.508</v>
      </c>
      <c r="F36" s="27">
        <v>5</v>
      </c>
      <c r="G36" s="26">
        <v>0</v>
      </c>
      <c r="H36" s="27">
        <v>0</v>
      </c>
      <c r="I36" s="26">
        <v>0</v>
      </c>
      <c r="J36" s="27">
        <v>0</v>
      </c>
      <c r="K36" s="26">
        <v>0</v>
      </c>
      <c r="L36" s="67">
        <v>0</v>
      </c>
      <c r="M36" s="83">
        <f>514.545-42.927</f>
        <v>471.61799999999994</v>
      </c>
      <c r="N36" s="121">
        <f>22-4</f>
        <v>18</v>
      </c>
      <c r="O36" s="74">
        <v>9.033</v>
      </c>
      <c r="P36" s="27">
        <v>1</v>
      </c>
      <c r="Q36" s="26">
        <f>137.083-6.943</f>
        <v>130.14</v>
      </c>
      <c r="R36" s="27">
        <f>15-3</f>
        <v>12</v>
      </c>
      <c r="S36" s="58">
        <v>80</v>
      </c>
      <c r="T36" s="130">
        <f t="shared" si="1"/>
        <v>26.201</v>
      </c>
      <c r="U36" s="130"/>
      <c r="V36" s="130"/>
      <c r="W36" s="55">
        <v>22530</v>
      </c>
      <c r="X36" s="55"/>
    </row>
    <row r="37" spans="1:24" s="4" customFormat="1" ht="15.75">
      <c r="A37" s="140">
        <v>26</v>
      </c>
      <c r="B37" s="133" t="s">
        <v>34</v>
      </c>
      <c r="C37" s="26">
        <v>719.598</v>
      </c>
      <c r="D37" s="31">
        <v>38</v>
      </c>
      <c r="E37" s="26">
        <v>52.475</v>
      </c>
      <c r="F37" s="27">
        <v>3</v>
      </c>
      <c r="G37" s="26">
        <v>0</v>
      </c>
      <c r="H37" s="27">
        <v>0</v>
      </c>
      <c r="I37" s="26">
        <v>0</v>
      </c>
      <c r="J37" s="27">
        <v>0</v>
      </c>
      <c r="K37" s="26">
        <v>0</v>
      </c>
      <c r="L37" s="67">
        <v>0</v>
      </c>
      <c r="M37" s="83">
        <v>493.207</v>
      </c>
      <c r="N37" s="121">
        <v>21</v>
      </c>
      <c r="O37" s="74">
        <v>65.136</v>
      </c>
      <c r="P37" s="27">
        <v>3</v>
      </c>
      <c r="Q37" s="26">
        <v>108.78</v>
      </c>
      <c r="R37" s="27">
        <v>11</v>
      </c>
      <c r="S37" s="58">
        <v>72</v>
      </c>
      <c r="T37" s="130">
        <f t="shared" si="1"/>
        <v>23.486</v>
      </c>
      <c r="U37" s="130"/>
      <c r="V37" s="130"/>
      <c r="W37" s="55">
        <v>23402</v>
      </c>
      <c r="X37" s="55"/>
    </row>
    <row r="38" spans="1:24" s="4" customFormat="1" ht="15.75">
      <c r="A38" s="140">
        <v>27</v>
      </c>
      <c r="B38" s="133" t="s">
        <v>35</v>
      </c>
      <c r="C38" s="26">
        <f>829.659-9.912-4.888-4.005</f>
        <v>810.8539999999999</v>
      </c>
      <c r="D38" s="31">
        <f>44-3</f>
        <v>41</v>
      </c>
      <c r="E38" s="26">
        <v>93.323</v>
      </c>
      <c r="F38" s="27">
        <v>3</v>
      </c>
      <c r="G38" s="26">
        <v>0</v>
      </c>
      <c r="H38" s="27">
        <v>0</v>
      </c>
      <c r="I38" s="26">
        <v>0</v>
      </c>
      <c r="J38" s="27">
        <v>0</v>
      </c>
      <c r="K38" s="26">
        <v>0</v>
      </c>
      <c r="L38" s="67">
        <v>0</v>
      </c>
      <c r="M38" s="83">
        <v>531.018</v>
      </c>
      <c r="N38" s="121">
        <v>19</v>
      </c>
      <c r="O38" s="74">
        <f>59.783-9.912</f>
        <v>49.871</v>
      </c>
      <c r="P38" s="27">
        <f>4-1</f>
        <v>3</v>
      </c>
      <c r="Q38" s="26">
        <f>145.535-4.888-4.005</f>
        <v>136.642</v>
      </c>
      <c r="R38" s="27">
        <f>18-2</f>
        <v>16</v>
      </c>
      <c r="S38" s="58">
        <v>11.502</v>
      </c>
      <c r="T38" s="91">
        <f t="shared" si="1"/>
        <v>27.948</v>
      </c>
      <c r="U38" s="91"/>
      <c r="V38" s="91"/>
      <c r="W38" s="55"/>
      <c r="X38" s="55"/>
    </row>
    <row r="39" spans="1:24" s="4" customFormat="1" ht="16.5" thickBot="1">
      <c r="A39" s="134">
        <v>28</v>
      </c>
      <c r="B39" s="135" t="s">
        <v>36</v>
      </c>
      <c r="C39" s="39">
        <f>385.434+105.685-38.4</f>
        <v>452.71900000000005</v>
      </c>
      <c r="D39" s="48">
        <f>18+5-3</f>
        <v>20</v>
      </c>
      <c r="E39" s="39">
        <f>72.837-18.42</f>
        <v>54.417</v>
      </c>
      <c r="F39" s="40">
        <f>2-1</f>
        <v>1</v>
      </c>
      <c r="G39" s="39">
        <v>0</v>
      </c>
      <c r="H39" s="40">
        <v>0</v>
      </c>
      <c r="I39" s="39">
        <v>0</v>
      </c>
      <c r="J39" s="40">
        <v>0</v>
      </c>
      <c r="K39" s="39">
        <v>0</v>
      </c>
      <c r="L39" s="68">
        <v>0</v>
      </c>
      <c r="M39" s="84">
        <f>71.208-15.12</f>
        <v>56.088</v>
      </c>
      <c r="N39" s="118">
        <f>3-1</f>
        <v>2</v>
      </c>
      <c r="O39" s="75">
        <f>152.982+96.685-4.86</f>
        <v>244.807</v>
      </c>
      <c r="P39" s="40">
        <f>5+4-1</f>
        <v>8</v>
      </c>
      <c r="Q39" s="39">
        <f>88.407+9</f>
        <v>97.407</v>
      </c>
      <c r="R39" s="40">
        <f>8+1</f>
        <v>9</v>
      </c>
      <c r="S39" s="59">
        <v>24.946</v>
      </c>
      <c r="T39" s="91">
        <f t="shared" si="1"/>
        <v>28.044</v>
      </c>
      <c r="U39" s="91"/>
      <c r="V39" s="91"/>
      <c r="W39" s="55"/>
      <c r="X39" s="55"/>
    </row>
    <row r="40" spans="1:24" s="4" customFormat="1" ht="16.5" thickBot="1">
      <c r="A40" s="136" t="s">
        <v>37</v>
      </c>
      <c r="B40" s="137"/>
      <c r="C40" s="46">
        <f aca="true" t="shared" si="6" ref="C40:L40">SUM(C36:C39)</f>
        <v>2831.47</v>
      </c>
      <c r="D40" s="46">
        <f t="shared" si="6"/>
        <v>135</v>
      </c>
      <c r="E40" s="46">
        <f t="shared" si="6"/>
        <v>437.72299999999996</v>
      </c>
      <c r="F40" s="46">
        <f t="shared" si="6"/>
        <v>12</v>
      </c>
      <c r="G40" s="46">
        <f t="shared" si="6"/>
        <v>0</v>
      </c>
      <c r="H40" s="47">
        <f t="shared" si="6"/>
        <v>0</v>
      </c>
      <c r="I40" s="46">
        <f t="shared" si="6"/>
        <v>0</v>
      </c>
      <c r="J40" s="47">
        <f t="shared" si="6"/>
        <v>0</v>
      </c>
      <c r="K40" s="46">
        <f t="shared" si="6"/>
        <v>0</v>
      </c>
      <c r="L40" s="53">
        <f t="shared" si="6"/>
        <v>0</v>
      </c>
      <c r="M40" s="85">
        <f aca="true" t="shared" si="7" ref="M40:S40">SUM(M36:M39)</f>
        <v>1551.9309999999998</v>
      </c>
      <c r="N40" s="119">
        <f t="shared" si="7"/>
        <v>60</v>
      </c>
      <c r="O40" s="76">
        <f t="shared" si="7"/>
        <v>368.847</v>
      </c>
      <c r="P40" s="47">
        <f t="shared" si="7"/>
        <v>15</v>
      </c>
      <c r="Q40" s="47">
        <f t="shared" si="7"/>
        <v>472.969</v>
      </c>
      <c r="R40" s="47">
        <f t="shared" si="7"/>
        <v>48</v>
      </c>
      <c r="S40" s="60">
        <f t="shared" si="7"/>
        <v>188.448</v>
      </c>
      <c r="T40" s="130"/>
      <c r="U40" s="130"/>
      <c r="V40" s="130"/>
      <c r="W40" s="55"/>
      <c r="X40" s="55"/>
    </row>
    <row r="41" spans="1:24" s="4" customFormat="1" ht="15.75">
      <c r="A41" s="138"/>
      <c r="B41" s="139" t="s">
        <v>38</v>
      </c>
      <c r="C41" s="49"/>
      <c r="D41" s="42"/>
      <c r="E41" s="43"/>
      <c r="F41" s="42"/>
      <c r="G41" s="43"/>
      <c r="H41" s="44"/>
      <c r="I41" s="44"/>
      <c r="J41" s="45"/>
      <c r="K41" s="44"/>
      <c r="L41" s="69"/>
      <c r="M41" s="86"/>
      <c r="N41" s="120"/>
      <c r="O41" s="77"/>
      <c r="P41" s="45"/>
      <c r="Q41" s="44"/>
      <c r="R41" s="45"/>
      <c r="S41" s="61"/>
      <c r="T41" s="91"/>
      <c r="U41" s="91"/>
      <c r="V41" s="91"/>
      <c r="W41" s="55"/>
      <c r="X41" s="55"/>
    </row>
    <row r="42" spans="1:24" s="4" customFormat="1" ht="15.75">
      <c r="A42" s="140">
        <v>29</v>
      </c>
      <c r="B42" s="133" t="s">
        <v>39</v>
      </c>
      <c r="C42" s="26">
        <f>1755.045+14.902-10.195</f>
        <v>1759.7520000000002</v>
      </c>
      <c r="D42" s="31">
        <f>73-1</f>
        <v>72</v>
      </c>
      <c r="E42" s="26">
        <v>214.532</v>
      </c>
      <c r="F42" s="27">
        <v>6</v>
      </c>
      <c r="G42" s="26">
        <v>0</v>
      </c>
      <c r="H42" s="27">
        <v>0</v>
      </c>
      <c r="I42" s="26">
        <v>0</v>
      </c>
      <c r="J42" s="27">
        <v>0</v>
      </c>
      <c r="K42" s="26">
        <v>0</v>
      </c>
      <c r="L42" s="67">
        <v>0</v>
      </c>
      <c r="M42" s="83">
        <v>1108.514</v>
      </c>
      <c r="N42" s="121">
        <v>36</v>
      </c>
      <c r="O42" s="74">
        <f>200.672+14.902-10.195</f>
        <v>205.379</v>
      </c>
      <c r="P42" s="27">
        <f>8-1</f>
        <v>7</v>
      </c>
      <c r="Q42" s="26">
        <v>231.327</v>
      </c>
      <c r="R42" s="27">
        <v>23</v>
      </c>
      <c r="S42" s="58">
        <v>149</v>
      </c>
      <c r="T42" s="91">
        <f t="shared" si="1"/>
        <v>30.792</v>
      </c>
      <c r="U42" s="91"/>
      <c r="V42" s="91"/>
      <c r="W42" s="55"/>
      <c r="X42" s="56"/>
    </row>
    <row r="43" spans="1:24" s="4" customFormat="1" ht="15.75">
      <c r="A43" s="140">
        <v>30</v>
      </c>
      <c r="B43" s="133" t="s">
        <v>40</v>
      </c>
      <c r="C43" s="26">
        <f>1253.407-6.55</f>
        <v>1246.857</v>
      </c>
      <c r="D43" s="31">
        <f>53-1</f>
        <v>52</v>
      </c>
      <c r="E43" s="26">
        <v>240.046</v>
      </c>
      <c r="F43" s="27">
        <v>6</v>
      </c>
      <c r="G43" s="26">
        <v>0</v>
      </c>
      <c r="H43" s="27">
        <v>0</v>
      </c>
      <c r="I43" s="26">
        <v>0</v>
      </c>
      <c r="J43" s="27">
        <v>0</v>
      </c>
      <c r="K43" s="26">
        <v>0</v>
      </c>
      <c r="L43" s="67">
        <v>0</v>
      </c>
      <c r="M43" s="83">
        <v>759.493</v>
      </c>
      <c r="N43" s="121">
        <v>26</v>
      </c>
      <c r="O43" s="74">
        <v>72.851</v>
      </c>
      <c r="P43" s="27">
        <v>3</v>
      </c>
      <c r="Q43" s="26">
        <f>181.017-6.55</f>
        <v>174.46699999999998</v>
      </c>
      <c r="R43" s="27">
        <f>18-1</f>
        <v>17</v>
      </c>
      <c r="S43" s="58">
        <v>113.054</v>
      </c>
      <c r="T43" s="91">
        <f t="shared" si="1"/>
        <v>29.211</v>
      </c>
      <c r="U43" s="91"/>
      <c r="V43" s="91"/>
      <c r="W43" s="55"/>
      <c r="X43" s="56"/>
    </row>
    <row r="44" spans="1:25" s="8" customFormat="1" ht="15.75">
      <c r="A44" s="141">
        <v>31</v>
      </c>
      <c r="B44" s="142" t="s">
        <v>41</v>
      </c>
      <c r="C44" s="32">
        <f>1360.749+66.547-7.96-110.53</f>
        <v>1308.806</v>
      </c>
      <c r="D44" s="33">
        <f>55+4-1-9</f>
        <v>49</v>
      </c>
      <c r="E44" s="32">
        <v>359.524</v>
      </c>
      <c r="F44" s="34">
        <v>7</v>
      </c>
      <c r="G44" s="32">
        <v>0</v>
      </c>
      <c r="H44" s="34">
        <v>0</v>
      </c>
      <c r="I44" s="32">
        <v>0</v>
      </c>
      <c r="J44" s="34">
        <v>0</v>
      </c>
      <c r="K44" s="32">
        <v>0</v>
      </c>
      <c r="L44" s="71">
        <v>0</v>
      </c>
      <c r="M44" s="88">
        <v>611.748</v>
      </c>
      <c r="N44" s="123">
        <v>22</v>
      </c>
      <c r="O44" s="79">
        <f>153.303+17.285-54.965</f>
        <v>115.62299999999999</v>
      </c>
      <c r="P44" s="34">
        <f>5+1-2</f>
        <v>4</v>
      </c>
      <c r="Q44" s="32">
        <f>236.174+49.262-7.96-55.564</f>
        <v>221.91200000000006</v>
      </c>
      <c r="R44" s="34">
        <f>21+3-1-7</f>
        <v>16</v>
      </c>
      <c r="S44" s="63">
        <v>130.371</v>
      </c>
      <c r="T44" s="91">
        <f t="shared" si="1"/>
        <v>27.807</v>
      </c>
      <c r="U44" s="91"/>
      <c r="V44" s="91"/>
      <c r="W44" s="55"/>
      <c r="X44" s="55"/>
      <c r="Y44" s="4"/>
    </row>
    <row r="45" spans="1:25" s="9" customFormat="1" ht="15.75">
      <c r="A45" s="140">
        <v>32</v>
      </c>
      <c r="B45" s="133" t="s">
        <v>42</v>
      </c>
      <c r="C45" s="28">
        <f>1753.032+10.321</f>
        <v>1763.3529999999998</v>
      </c>
      <c r="D45" s="29">
        <v>85</v>
      </c>
      <c r="E45" s="28">
        <v>252.44</v>
      </c>
      <c r="F45" s="30">
        <v>8</v>
      </c>
      <c r="G45" s="28">
        <v>0</v>
      </c>
      <c r="H45" s="30">
        <v>0</v>
      </c>
      <c r="I45" s="28">
        <v>0</v>
      </c>
      <c r="J45" s="30">
        <v>0</v>
      </c>
      <c r="K45" s="28">
        <v>0</v>
      </c>
      <c r="L45" s="70">
        <v>0</v>
      </c>
      <c r="M45" s="87">
        <v>1165.891</v>
      </c>
      <c r="N45" s="122">
        <v>44</v>
      </c>
      <c r="O45" s="78">
        <f>102.161+10.321</f>
        <v>112.482</v>
      </c>
      <c r="P45" s="30">
        <v>6</v>
      </c>
      <c r="Q45" s="28">
        <v>232.54</v>
      </c>
      <c r="R45" s="30">
        <v>27</v>
      </c>
      <c r="S45" s="62">
        <v>72</v>
      </c>
      <c r="T45" s="91">
        <f t="shared" si="1"/>
        <v>26.498</v>
      </c>
      <c r="U45" s="91"/>
      <c r="V45" s="91"/>
      <c r="W45" s="55"/>
      <c r="X45" s="55"/>
      <c r="Y45" s="4"/>
    </row>
    <row r="46" spans="1:24" s="4" customFormat="1" ht="15.75">
      <c r="A46" s="140">
        <v>33</v>
      </c>
      <c r="B46" s="133" t="s">
        <v>43</v>
      </c>
      <c r="C46" s="26">
        <f>1548.695-16.24</f>
        <v>1532.455</v>
      </c>
      <c r="D46" s="31">
        <f>64-2</f>
        <v>62</v>
      </c>
      <c r="E46" s="26">
        <v>223.564</v>
      </c>
      <c r="F46" s="27">
        <v>6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67">
        <v>0</v>
      </c>
      <c r="M46" s="83">
        <v>1004.012</v>
      </c>
      <c r="N46" s="121">
        <v>31</v>
      </c>
      <c r="O46" s="74">
        <v>116.038</v>
      </c>
      <c r="P46" s="27">
        <v>5</v>
      </c>
      <c r="Q46" s="26">
        <f>205.081-16.24</f>
        <v>188.84099999999998</v>
      </c>
      <c r="R46" s="27">
        <f>22-2</f>
        <v>20</v>
      </c>
      <c r="S46" s="58">
        <v>138.116</v>
      </c>
      <c r="T46" s="91">
        <f t="shared" si="1"/>
        <v>32.387</v>
      </c>
      <c r="U46" s="91"/>
      <c r="V46" s="91"/>
      <c r="W46" s="55"/>
      <c r="X46" s="55"/>
    </row>
    <row r="47" spans="1:24" s="110" customFormat="1" ht="15.75">
      <c r="A47" s="143">
        <v>34</v>
      </c>
      <c r="B47" s="144" t="s">
        <v>44</v>
      </c>
      <c r="C47" s="103"/>
      <c r="D47" s="104"/>
      <c r="E47" s="103"/>
      <c r="F47" s="105"/>
      <c r="G47" s="103"/>
      <c r="H47" s="105"/>
      <c r="I47" s="103"/>
      <c r="J47" s="105"/>
      <c r="K47" s="103"/>
      <c r="L47" s="106"/>
      <c r="M47" s="107">
        <v>590.795</v>
      </c>
      <c r="N47" s="124">
        <v>21</v>
      </c>
      <c r="O47" s="108"/>
      <c r="P47" s="105"/>
      <c r="Q47" s="103"/>
      <c r="R47" s="105"/>
      <c r="S47" s="109"/>
      <c r="T47" s="91">
        <f t="shared" si="1"/>
        <v>28.133</v>
      </c>
      <c r="U47" s="91"/>
      <c r="V47" s="91"/>
      <c r="W47" s="114"/>
      <c r="X47" s="114"/>
    </row>
    <row r="48" spans="1:24" s="4" customFormat="1" ht="15.75">
      <c r="A48" s="140">
        <v>35</v>
      </c>
      <c r="B48" s="133" t="s">
        <v>45</v>
      </c>
      <c r="C48" s="26">
        <f>1300.52-60.546-60.922-14.711-2.017</f>
        <v>1162.3239999999998</v>
      </c>
      <c r="D48" s="31">
        <f>57-4-6-1-1</f>
        <v>45</v>
      </c>
      <c r="E48" s="26">
        <v>310.117</v>
      </c>
      <c r="F48" s="27">
        <v>6</v>
      </c>
      <c r="G48" s="26">
        <v>0</v>
      </c>
      <c r="H48" s="27">
        <v>0</v>
      </c>
      <c r="I48" s="26">
        <v>0</v>
      </c>
      <c r="J48" s="27">
        <v>0</v>
      </c>
      <c r="K48" s="26">
        <v>0</v>
      </c>
      <c r="L48" s="67">
        <v>0</v>
      </c>
      <c r="M48" s="83">
        <f>710.575-60.546</f>
        <v>650.029</v>
      </c>
      <c r="N48" s="121">
        <f>24-4</f>
        <v>20</v>
      </c>
      <c r="O48" s="74">
        <f>110.1-60.922</f>
        <v>49.178</v>
      </c>
      <c r="P48" s="27">
        <f>8-6</f>
        <v>2</v>
      </c>
      <c r="Q48" s="26">
        <f>169.728-14.711-2.017</f>
        <v>153</v>
      </c>
      <c r="R48" s="27">
        <f>19-2</f>
        <v>17</v>
      </c>
      <c r="S48" s="58">
        <v>102</v>
      </c>
      <c r="T48" s="91">
        <f t="shared" si="1"/>
        <v>32.501</v>
      </c>
      <c r="U48" s="91"/>
      <c r="V48" s="91"/>
      <c r="W48" s="55"/>
      <c r="X48" s="55"/>
    </row>
    <row r="49" spans="1:24" ht="15.75">
      <c r="A49" s="140">
        <v>36</v>
      </c>
      <c r="B49" s="133" t="s">
        <v>46</v>
      </c>
      <c r="C49" s="26">
        <f>2228.082-14.56</f>
        <v>2213.522</v>
      </c>
      <c r="D49" s="31">
        <f>81-2</f>
        <v>79</v>
      </c>
      <c r="E49" s="26">
        <v>387.735</v>
      </c>
      <c r="F49" s="27">
        <v>9</v>
      </c>
      <c r="G49" s="26">
        <v>0</v>
      </c>
      <c r="H49" s="27">
        <v>0</v>
      </c>
      <c r="I49" s="26">
        <v>0</v>
      </c>
      <c r="J49" s="27">
        <v>0</v>
      </c>
      <c r="K49" s="26">
        <v>0</v>
      </c>
      <c r="L49" s="67">
        <v>0</v>
      </c>
      <c r="M49" s="83">
        <v>1401.824</v>
      </c>
      <c r="N49" s="121">
        <v>41</v>
      </c>
      <c r="O49" s="74">
        <v>153.997</v>
      </c>
      <c r="P49" s="27">
        <v>5</v>
      </c>
      <c r="Q49" s="26">
        <f>284.526-14.56</f>
        <v>269.966</v>
      </c>
      <c r="R49" s="27">
        <f>26-2</f>
        <v>24</v>
      </c>
      <c r="S49" s="58">
        <v>148.783</v>
      </c>
      <c r="T49" s="91">
        <f t="shared" si="1"/>
        <v>34.191</v>
      </c>
      <c r="U49" s="91"/>
      <c r="V49" s="91"/>
      <c r="W49" s="55"/>
      <c r="X49" s="55"/>
    </row>
    <row r="50" spans="1:24" ht="16.5" thickBot="1">
      <c r="A50" s="134">
        <v>37</v>
      </c>
      <c r="B50" s="135" t="s">
        <v>47</v>
      </c>
      <c r="C50" s="39">
        <f>1357.435+16.743</f>
        <v>1374.1779999999999</v>
      </c>
      <c r="D50" s="48">
        <v>58</v>
      </c>
      <c r="E50" s="39">
        <v>256.529</v>
      </c>
      <c r="F50" s="40">
        <v>7</v>
      </c>
      <c r="G50" s="39">
        <v>0</v>
      </c>
      <c r="H50" s="40">
        <v>0</v>
      </c>
      <c r="I50" s="39">
        <v>0</v>
      </c>
      <c r="J50" s="40">
        <v>0</v>
      </c>
      <c r="K50" s="39">
        <v>0</v>
      </c>
      <c r="L50" s="68">
        <v>0</v>
      </c>
      <c r="M50" s="84">
        <v>840.522</v>
      </c>
      <c r="N50" s="118">
        <v>30</v>
      </c>
      <c r="O50" s="75">
        <f>105.298+16.743</f>
        <v>122.041</v>
      </c>
      <c r="P50" s="40">
        <v>6</v>
      </c>
      <c r="Q50" s="39">
        <v>155.086</v>
      </c>
      <c r="R50" s="40">
        <v>15</v>
      </c>
      <c r="S50" s="59">
        <v>116.312</v>
      </c>
      <c r="T50" s="91">
        <f t="shared" si="1"/>
        <v>28.017</v>
      </c>
      <c r="U50" s="91"/>
      <c r="V50" s="91"/>
      <c r="W50" s="55"/>
      <c r="X50" s="56"/>
    </row>
    <row r="51" spans="1:24" ht="16.5" thickBot="1">
      <c r="A51" s="136" t="s">
        <v>48</v>
      </c>
      <c r="B51" s="137"/>
      <c r="C51" s="46">
        <f>SUM(C42:C50)</f>
        <v>12361.247</v>
      </c>
      <c r="D51" s="46">
        <f>SUM(D42:D50)</f>
        <v>502</v>
      </c>
      <c r="E51" s="46">
        <f>SUM(E42:E50)</f>
        <v>2244.487</v>
      </c>
      <c r="F51" s="46">
        <f>SUM(F42:F50)</f>
        <v>55</v>
      </c>
      <c r="G51" s="46">
        <f aca="true" t="shared" si="8" ref="G51:S51">SUM(G42:G50)</f>
        <v>0</v>
      </c>
      <c r="H51" s="47">
        <f t="shared" si="8"/>
        <v>0</v>
      </c>
      <c r="I51" s="46">
        <f t="shared" si="8"/>
        <v>0</v>
      </c>
      <c r="J51" s="47">
        <f t="shared" si="8"/>
        <v>0</v>
      </c>
      <c r="K51" s="46">
        <f t="shared" si="8"/>
        <v>0</v>
      </c>
      <c r="L51" s="53">
        <f t="shared" si="8"/>
        <v>0</v>
      </c>
      <c r="M51" s="85">
        <f>SUM(M42:M50)</f>
        <v>8132.828</v>
      </c>
      <c r="N51" s="119">
        <f t="shared" si="8"/>
        <v>271</v>
      </c>
      <c r="O51" s="76">
        <f t="shared" si="8"/>
        <v>947.5889999999999</v>
      </c>
      <c r="P51" s="47">
        <f t="shared" si="8"/>
        <v>38</v>
      </c>
      <c r="Q51" s="47">
        <f t="shared" si="8"/>
        <v>1627.139</v>
      </c>
      <c r="R51" s="47">
        <f t="shared" si="8"/>
        <v>159</v>
      </c>
      <c r="S51" s="60">
        <f t="shared" si="8"/>
        <v>969.636</v>
      </c>
      <c r="T51" s="91">
        <f t="shared" si="1"/>
        <v>30.01</v>
      </c>
      <c r="U51" s="91"/>
      <c r="V51" s="91"/>
      <c r="W51" s="55"/>
      <c r="X51" s="55"/>
    </row>
    <row r="52" spans="1:24" ht="16.5" thickBot="1">
      <c r="A52" s="136" t="s">
        <v>49</v>
      </c>
      <c r="B52" s="137"/>
      <c r="C52" s="46">
        <f>C40+C51</f>
        <v>15192.716999999999</v>
      </c>
      <c r="D52" s="46">
        <f>D40+D51</f>
        <v>637</v>
      </c>
      <c r="E52" s="46">
        <f aca="true" t="shared" si="9" ref="E52:S52">E40+E51</f>
        <v>2682.21</v>
      </c>
      <c r="F52" s="46">
        <f t="shared" si="9"/>
        <v>67</v>
      </c>
      <c r="G52" s="46">
        <f t="shared" si="9"/>
        <v>0</v>
      </c>
      <c r="H52" s="46">
        <f t="shared" si="9"/>
        <v>0</v>
      </c>
      <c r="I52" s="46">
        <f t="shared" si="9"/>
        <v>0</v>
      </c>
      <c r="J52" s="46">
        <f t="shared" si="9"/>
        <v>0</v>
      </c>
      <c r="K52" s="46">
        <f t="shared" si="9"/>
        <v>0</v>
      </c>
      <c r="L52" s="54">
        <f t="shared" si="9"/>
        <v>0</v>
      </c>
      <c r="M52" s="89">
        <f t="shared" si="9"/>
        <v>9684.759</v>
      </c>
      <c r="N52" s="119">
        <f t="shared" si="9"/>
        <v>331</v>
      </c>
      <c r="O52" s="80">
        <f t="shared" si="9"/>
        <v>1316.436</v>
      </c>
      <c r="P52" s="46">
        <f t="shared" si="9"/>
        <v>53</v>
      </c>
      <c r="Q52" s="46">
        <f t="shared" si="9"/>
        <v>2100.1079999999997</v>
      </c>
      <c r="R52" s="46">
        <f t="shared" si="9"/>
        <v>207</v>
      </c>
      <c r="S52" s="64">
        <f t="shared" si="9"/>
        <v>1158.084</v>
      </c>
      <c r="T52" s="91">
        <f t="shared" si="1"/>
        <v>29.259</v>
      </c>
      <c r="U52" s="91"/>
      <c r="V52" s="91"/>
      <c r="W52" s="55"/>
      <c r="X52" s="55"/>
    </row>
    <row r="53" spans="1:24" s="7" customFormat="1" ht="16.5" thickBot="1">
      <c r="A53" s="145">
        <v>38</v>
      </c>
      <c r="B53" s="146" t="s">
        <v>50</v>
      </c>
      <c r="C53" s="50">
        <v>0</v>
      </c>
      <c r="D53" s="51">
        <v>0</v>
      </c>
      <c r="E53" s="50"/>
      <c r="F53" s="51"/>
      <c r="G53" s="50">
        <v>0</v>
      </c>
      <c r="H53" s="51">
        <v>0</v>
      </c>
      <c r="I53" s="50">
        <v>0</v>
      </c>
      <c r="J53" s="51">
        <v>0</v>
      </c>
      <c r="K53" s="50">
        <v>0</v>
      </c>
      <c r="L53" s="72">
        <v>0</v>
      </c>
      <c r="M53" s="90">
        <v>590.564</v>
      </c>
      <c r="N53" s="125">
        <v>14</v>
      </c>
      <c r="O53" s="81"/>
      <c r="P53" s="51"/>
      <c r="Q53" s="50"/>
      <c r="R53" s="51"/>
      <c r="S53" s="65"/>
      <c r="T53" s="91">
        <f t="shared" si="1"/>
        <v>42.183</v>
      </c>
      <c r="U53" s="91"/>
      <c r="V53" s="91"/>
      <c r="W53" s="114"/>
      <c r="X53" s="114"/>
    </row>
    <row r="54" spans="1:24" ht="16.5" thickBot="1">
      <c r="A54" s="156" t="s">
        <v>51</v>
      </c>
      <c r="B54" s="157"/>
      <c r="C54" s="46">
        <f>C34+C52+C53</f>
        <v>36597.657</v>
      </c>
      <c r="D54" s="46">
        <f>D34+D52+D53</f>
        <v>1402</v>
      </c>
      <c r="E54" s="46">
        <f aca="true" t="shared" si="10" ref="E54:S54">E34+E52+E53</f>
        <v>51178.30099999999</v>
      </c>
      <c r="F54" s="46">
        <f t="shared" si="10"/>
        <v>136</v>
      </c>
      <c r="G54" s="46">
        <f t="shared" si="10"/>
        <v>0</v>
      </c>
      <c r="H54" s="46">
        <f t="shared" si="10"/>
        <v>0</v>
      </c>
      <c r="I54" s="46">
        <f t="shared" si="10"/>
        <v>0</v>
      </c>
      <c r="J54" s="46">
        <f t="shared" si="10"/>
        <v>0</v>
      </c>
      <c r="K54" s="46">
        <f t="shared" si="10"/>
        <v>0</v>
      </c>
      <c r="L54" s="54">
        <f t="shared" si="10"/>
        <v>0</v>
      </c>
      <c r="M54" s="89">
        <f t="shared" si="10"/>
        <v>23999.650999999998</v>
      </c>
      <c r="N54" s="119">
        <f t="shared" si="10"/>
        <v>735</v>
      </c>
      <c r="O54" s="80">
        <f t="shared" si="10"/>
        <v>2777.4169999999995</v>
      </c>
      <c r="P54" s="46">
        <f t="shared" si="10"/>
        <v>106</v>
      </c>
      <c r="Q54" s="46">
        <f t="shared" si="10"/>
        <v>4852.99</v>
      </c>
      <c r="R54" s="46">
        <f>R34+R52+R53</f>
        <v>461</v>
      </c>
      <c r="S54" s="64">
        <f t="shared" si="10"/>
        <v>2762.4399999999996</v>
      </c>
      <c r="T54" s="91">
        <f>ROUND((M54/N54),3)</f>
        <v>32.653</v>
      </c>
      <c r="U54" s="91"/>
      <c r="V54" s="91"/>
      <c r="W54" s="55"/>
      <c r="X54" s="55"/>
    </row>
    <row r="55" spans="1:22" ht="15.75">
      <c r="A55" s="35"/>
      <c r="B55" s="15"/>
      <c r="C55" s="15"/>
      <c r="D55" s="36"/>
      <c r="E55" s="37"/>
      <c r="F55" s="35"/>
      <c r="G55" s="35"/>
      <c r="H55" s="15"/>
      <c r="I55" s="15"/>
      <c r="J55" s="15"/>
      <c r="K55" s="15"/>
      <c r="L55" s="16"/>
      <c r="M55" s="16"/>
      <c r="N55" s="16"/>
      <c r="O55" s="16"/>
      <c r="P55" s="16"/>
      <c r="Q55" s="16"/>
      <c r="R55" s="16"/>
      <c r="S55" s="16"/>
      <c r="T55" s="127"/>
      <c r="U55" s="127"/>
      <c r="V55" s="127"/>
    </row>
    <row r="56" spans="1:22" ht="15.75">
      <c r="A56" s="35"/>
      <c r="B56" s="38" t="s">
        <v>73</v>
      </c>
      <c r="C56" s="38"/>
      <c r="D56" s="36"/>
      <c r="E56" s="37"/>
      <c r="F56" s="35"/>
      <c r="G56" s="35"/>
      <c r="H56" s="15"/>
      <c r="I56" s="15"/>
      <c r="J56" s="15"/>
      <c r="K56" s="15"/>
      <c r="L56" s="16"/>
      <c r="M56" s="159"/>
      <c r="N56" s="159"/>
      <c r="O56" s="16"/>
      <c r="P56" s="16"/>
      <c r="Q56" s="16"/>
      <c r="R56" s="16"/>
      <c r="S56" s="16"/>
      <c r="T56" s="127"/>
      <c r="U56" s="127"/>
      <c r="V56" s="127"/>
    </row>
    <row r="57" spans="1:22" ht="15.75">
      <c r="A57" s="35"/>
      <c r="B57" s="15"/>
      <c r="C57" s="15"/>
      <c r="D57" s="36"/>
      <c r="E57" s="37"/>
      <c r="F57" s="35"/>
      <c r="G57" s="35"/>
      <c r="H57" s="15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  <c r="T57" s="127"/>
      <c r="U57" s="127"/>
      <c r="V57" s="127"/>
    </row>
    <row r="58" spans="1:22" ht="15.75">
      <c r="A58" s="35"/>
      <c r="B58" s="115" t="s">
        <v>69</v>
      </c>
      <c r="C58" s="115"/>
      <c r="D58" s="116"/>
      <c r="E58" s="37"/>
      <c r="F58" s="35"/>
      <c r="G58" s="35"/>
      <c r="H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27"/>
      <c r="U58" s="127"/>
      <c r="V58" s="127"/>
    </row>
    <row r="59" spans="1:22" ht="15.75">
      <c r="A59" s="35"/>
      <c r="B59" s="15"/>
      <c r="C59" s="15"/>
      <c r="D59" s="36"/>
      <c r="E59" s="37"/>
      <c r="F59" s="35"/>
      <c r="G59" s="35"/>
      <c r="H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  <c r="T59" s="127"/>
      <c r="U59" s="127"/>
      <c r="V59" s="127"/>
    </row>
    <row r="60" spans="1:22" ht="15.75">
      <c r="A60" s="35"/>
      <c r="B60" s="15"/>
      <c r="C60" s="15"/>
      <c r="D60" s="36"/>
      <c r="E60" s="37"/>
      <c r="F60" s="35"/>
      <c r="G60" s="35"/>
      <c r="H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  <c r="T60" s="127"/>
      <c r="U60" s="127"/>
      <c r="V60" s="127"/>
    </row>
    <row r="61" spans="1:22" ht="15.75">
      <c r="A61" s="35"/>
      <c r="B61" s="15"/>
      <c r="C61" s="15"/>
      <c r="D61" s="36"/>
      <c r="E61" s="37"/>
      <c r="F61" s="35"/>
      <c r="G61" s="35"/>
      <c r="H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  <c r="T61" s="127"/>
      <c r="U61" s="127"/>
      <c r="V61" s="127"/>
    </row>
    <row r="62" spans="1:22" ht="15.75">
      <c r="A62" s="35"/>
      <c r="B62" s="15"/>
      <c r="C62" s="15"/>
      <c r="D62" s="36"/>
      <c r="E62" s="37"/>
      <c r="F62" s="35"/>
      <c r="G62" s="35"/>
      <c r="H62" s="15"/>
      <c r="I62" s="15"/>
      <c r="J62" s="15"/>
      <c r="K62" s="15"/>
      <c r="L62" s="16"/>
      <c r="M62" s="16"/>
      <c r="N62" s="16"/>
      <c r="O62" s="16"/>
      <c r="P62" s="16"/>
      <c r="Q62" s="16"/>
      <c r="R62" s="16"/>
      <c r="S62" s="16"/>
      <c r="T62" s="127"/>
      <c r="U62" s="127"/>
      <c r="V62" s="127"/>
    </row>
    <row r="63" spans="1:22" ht="15.75">
      <c r="A63" s="35"/>
      <c r="B63" s="15"/>
      <c r="C63" s="15"/>
      <c r="D63" s="36"/>
      <c r="E63" s="37"/>
      <c r="F63" s="35"/>
      <c r="G63" s="35"/>
      <c r="H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  <c r="T63" s="127"/>
      <c r="U63" s="127"/>
      <c r="V63" s="127"/>
    </row>
    <row r="64" spans="1:22" ht="15.75">
      <c r="A64" s="35"/>
      <c r="B64" s="15"/>
      <c r="C64" s="15"/>
      <c r="D64" s="36"/>
      <c r="E64" s="37"/>
      <c r="F64" s="35"/>
      <c r="G64" s="35"/>
      <c r="H64" s="15"/>
      <c r="I64" s="15"/>
      <c r="J64" s="15"/>
      <c r="K64" s="15"/>
      <c r="L64" s="16"/>
      <c r="M64" s="16"/>
      <c r="N64" s="16"/>
      <c r="O64" s="16"/>
      <c r="P64" s="16"/>
      <c r="Q64" s="16"/>
      <c r="R64" s="16"/>
      <c r="S64" s="16"/>
      <c r="T64" s="127"/>
      <c r="U64" s="127"/>
      <c r="V64" s="127"/>
    </row>
    <row r="65" spans="1:22" ht="15.75">
      <c r="A65" s="35"/>
      <c r="B65" s="15"/>
      <c r="C65" s="15"/>
      <c r="D65" s="36"/>
      <c r="E65" s="37"/>
      <c r="F65" s="35"/>
      <c r="G65" s="35"/>
      <c r="H65" s="15"/>
      <c r="I65" s="15"/>
      <c r="J65" s="15"/>
      <c r="K65" s="15"/>
      <c r="L65" s="16"/>
      <c r="M65" s="16"/>
      <c r="N65" s="16"/>
      <c r="O65" s="16"/>
      <c r="P65" s="16"/>
      <c r="Q65" s="16"/>
      <c r="R65" s="16"/>
      <c r="S65" s="16"/>
      <c r="T65" s="127"/>
      <c r="U65" s="127"/>
      <c r="V65" s="127"/>
    </row>
    <row r="66" spans="1:22" ht="15.75">
      <c r="A66" s="35"/>
      <c r="B66" s="15"/>
      <c r="C66" s="15"/>
      <c r="D66" s="36"/>
      <c r="E66" s="37"/>
      <c r="F66" s="35"/>
      <c r="G66" s="35"/>
      <c r="H66" s="15"/>
      <c r="I66" s="15"/>
      <c r="J66" s="15"/>
      <c r="K66" s="15"/>
      <c r="L66" s="16"/>
      <c r="M66" s="16"/>
      <c r="N66" s="16"/>
      <c r="O66" s="16"/>
      <c r="P66" s="16"/>
      <c r="Q66" s="16"/>
      <c r="R66" s="16"/>
      <c r="S66" s="16"/>
      <c r="T66" s="127"/>
      <c r="U66" s="127"/>
      <c r="V66" s="127"/>
    </row>
    <row r="67" spans="1:22" ht="15.75">
      <c r="A67" s="35"/>
      <c r="B67" s="15"/>
      <c r="C67" s="15"/>
      <c r="D67" s="36"/>
      <c r="E67" s="37"/>
      <c r="F67" s="35"/>
      <c r="G67" s="35"/>
      <c r="H67" s="15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  <c r="T67" s="127"/>
      <c r="U67" s="127"/>
      <c r="V67" s="127"/>
    </row>
    <row r="68" spans="1:22" ht="15.75">
      <c r="A68" s="35"/>
      <c r="B68" s="15"/>
      <c r="C68" s="15"/>
      <c r="D68" s="36"/>
      <c r="E68" s="37"/>
      <c r="F68" s="35"/>
      <c r="G68" s="35"/>
      <c r="H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  <c r="T68" s="127"/>
      <c r="U68" s="127"/>
      <c r="V68" s="127"/>
    </row>
    <row r="69" spans="1:22" ht="15.75">
      <c r="A69" s="35"/>
      <c r="B69" s="15"/>
      <c r="C69" s="15"/>
      <c r="D69" s="36"/>
      <c r="E69" s="37"/>
      <c r="F69" s="35"/>
      <c r="G69" s="35"/>
      <c r="H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  <c r="T69" s="127"/>
      <c r="U69" s="127"/>
      <c r="V69" s="127"/>
    </row>
    <row r="70" spans="1:22" ht="15.75">
      <c r="A70" s="35"/>
      <c r="B70" s="15"/>
      <c r="C70" s="15"/>
      <c r="D70" s="36"/>
      <c r="E70" s="37"/>
      <c r="F70" s="35"/>
      <c r="G70" s="35"/>
      <c r="H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  <c r="T70" s="127"/>
      <c r="U70" s="127"/>
      <c r="V70" s="127"/>
    </row>
    <row r="71" spans="1:22" ht="15.75">
      <c r="A71" s="35"/>
      <c r="B71" s="15"/>
      <c r="C71" s="15"/>
      <c r="D71" s="36"/>
      <c r="E71" s="37"/>
      <c r="F71" s="35"/>
      <c r="G71" s="35"/>
      <c r="H71" s="15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  <c r="T71" s="127"/>
      <c r="U71" s="127"/>
      <c r="V71" s="127"/>
    </row>
    <row r="72" spans="1:22" ht="15.75">
      <c r="A72" s="35"/>
      <c r="B72" s="15"/>
      <c r="C72" s="15"/>
      <c r="D72" s="36"/>
      <c r="E72" s="37"/>
      <c r="F72" s="35"/>
      <c r="G72" s="35"/>
      <c r="H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  <c r="T72" s="127"/>
      <c r="U72" s="127"/>
      <c r="V72" s="127"/>
    </row>
    <row r="73" spans="1:22" ht="15.75">
      <c r="A73" s="35"/>
      <c r="B73" s="15"/>
      <c r="C73" s="15"/>
      <c r="D73" s="36"/>
      <c r="E73" s="37"/>
      <c r="F73" s="35"/>
      <c r="G73" s="35"/>
      <c r="H73" s="15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  <c r="T73" s="127"/>
      <c r="U73" s="127"/>
      <c r="V73" s="127"/>
    </row>
    <row r="74" spans="1:22" ht="15.75">
      <c r="A74" s="35"/>
      <c r="B74" s="15"/>
      <c r="C74" s="15"/>
      <c r="D74" s="36"/>
      <c r="E74" s="37"/>
      <c r="F74" s="35"/>
      <c r="G74" s="35"/>
      <c r="H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  <c r="T74" s="127"/>
      <c r="U74" s="127"/>
      <c r="V74" s="127"/>
    </row>
    <row r="75" spans="1:22" ht="15.75">
      <c r="A75" s="35"/>
      <c r="B75" s="15"/>
      <c r="C75" s="15"/>
      <c r="D75" s="36"/>
      <c r="E75" s="37"/>
      <c r="F75" s="35"/>
      <c r="G75" s="35"/>
      <c r="H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  <c r="T75" s="127"/>
      <c r="U75" s="127"/>
      <c r="V75" s="127"/>
    </row>
    <row r="76" spans="1:22" ht="15.75">
      <c r="A76" s="35"/>
      <c r="B76" s="15"/>
      <c r="C76" s="15"/>
      <c r="D76" s="36"/>
      <c r="E76" s="37"/>
      <c r="F76" s="35"/>
      <c r="G76" s="35"/>
      <c r="H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  <c r="T76" s="127"/>
      <c r="U76" s="127"/>
      <c r="V76" s="127"/>
    </row>
    <row r="77" spans="1:22" ht="15.75">
      <c r="A77" s="35"/>
      <c r="B77" s="15"/>
      <c r="C77" s="15"/>
      <c r="D77" s="36"/>
      <c r="E77" s="37"/>
      <c r="F77" s="35"/>
      <c r="G77" s="35"/>
      <c r="H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  <c r="T77" s="127"/>
      <c r="U77" s="127"/>
      <c r="V77" s="127"/>
    </row>
    <row r="78" spans="1:22" ht="15.75">
      <c r="A78" s="35"/>
      <c r="B78" s="15"/>
      <c r="C78" s="15"/>
      <c r="D78" s="36"/>
      <c r="E78" s="37"/>
      <c r="F78" s="35"/>
      <c r="G78" s="35"/>
      <c r="H78" s="15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  <c r="T78" s="127"/>
      <c r="U78" s="127"/>
      <c r="V78" s="127"/>
    </row>
    <row r="79" spans="1:22" ht="15.75">
      <c r="A79" s="35"/>
      <c r="B79" s="15"/>
      <c r="C79" s="15"/>
      <c r="D79" s="36"/>
      <c r="E79" s="37"/>
      <c r="F79" s="35"/>
      <c r="G79" s="35"/>
      <c r="H79" s="15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  <c r="T79" s="127"/>
      <c r="U79" s="127"/>
      <c r="V79" s="127"/>
    </row>
    <row r="80" spans="1:22" ht="15.75">
      <c r="A80" s="35"/>
      <c r="B80" s="15"/>
      <c r="C80" s="15"/>
      <c r="D80" s="36"/>
      <c r="E80" s="37"/>
      <c r="F80" s="35"/>
      <c r="G80" s="35"/>
      <c r="H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  <c r="T80" s="127"/>
      <c r="U80" s="127"/>
      <c r="V80" s="127"/>
    </row>
    <row r="81" spans="1:22" ht="15.75">
      <c r="A81" s="35"/>
      <c r="B81" s="15"/>
      <c r="C81" s="15"/>
      <c r="D81" s="36"/>
      <c r="E81" s="37"/>
      <c r="F81" s="35"/>
      <c r="G81" s="35"/>
      <c r="H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  <c r="T81" s="127"/>
      <c r="U81" s="127"/>
      <c r="V81" s="127"/>
    </row>
    <row r="82" spans="1:22" ht="15.75">
      <c r="A82" s="35"/>
      <c r="B82" s="15"/>
      <c r="C82" s="15"/>
      <c r="D82" s="36"/>
      <c r="E82" s="37"/>
      <c r="F82" s="35"/>
      <c r="G82" s="35"/>
      <c r="H82" s="15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  <c r="T82" s="127"/>
      <c r="U82" s="127"/>
      <c r="V82" s="127"/>
    </row>
    <row r="83" spans="1:22" ht="15.75">
      <c r="A83" s="35"/>
      <c r="B83" s="15"/>
      <c r="C83" s="15"/>
      <c r="D83" s="36"/>
      <c r="E83" s="37"/>
      <c r="F83" s="35"/>
      <c r="G83" s="35"/>
      <c r="H83" s="15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  <c r="T83" s="127"/>
      <c r="U83" s="127"/>
      <c r="V83" s="127"/>
    </row>
    <row r="84" spans="1:22" ht="15.75">
      <c r="A84" s="35"/>
      <c r="B84" s="15"/>
      <c r="C84" s="15"/>
      <c r="D84" s="36"/>
      <c r="E84" s="37"/>
      <c r="F84" s="35"/>
      <c r="G84" s="35"/>
      <c r="H84" s="15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  <c r="T84" s="127"/>
      <c r="U84" s="127"/>
      <c r="V84" s="127"/>
    </row>
    <row r="85" spans="1:22" ht="15.75">
      <c r="A85" s="35"/>
      <c r="B85" s="15"/>
      <c r="C85" s="15"/>
      <c r="D85" s="36"/>
      <c r="E85" s="37"/>
      <c r="F85" s="35"/>
      <c r="G85" s="35"/>
      <c r="H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  <c r="T85" s="127"/>
      <c r="U85" s="127"/>
      <c r="V85" s="127"/>
    </row>
    <row r="86" spans="1:22" ht="15.75">
      <c r="A86" s="35"/>
      <c r="B86" s="15"/>
      <c r="C86" s="15"/>
      <c r="D86" s="36"/>
      <c r="E86" s="37"/>
      <c r="F86" s="35"/>
      <c r="G86" s="35"/>
      <c r="H86" s="15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  <c r="T86" s="127"/>
      <c r="U86" s="127"/>
      <c r="V86" s="127"/>
    </row>
    <row r="87" spans="1:22" ht="15.75">
      <c r="A87" s="35"/>
      <c r="B87" s="15"/>
      <c r="C87" s="15"/>
      <c r="D87" s="36"/>
      <c r="E87" s="37"/>
      <c r="F87" s="35"/>
      <c r="G87" s="35"/>
      <c r="H87" s="15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  <c r="T87" s="127"/>
      <c r="U87" s="127"/>
      <c r="V87" s="127"/>
    </row>
    <row r="88" spans="1:22" ht="15.75">
      <c r="A88" s="35"/>
      <c r="B88" s="15"/>
      <c r="C88" s="15"/>
      <c r="D88" s="36"/>
      <c r="E88" s="37"/>
      <c r="F88" s="35"/>
      <c r="G88" s="35"/>
      <c r="H88" s="15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  <c r="T88" s="127"/>
      <c r="U88" s="127"/>
      <c r="V88" s="127"/>
    </row>
    <row r="89" spans="1:22" ht="15.75">
      <c r="A89" s="35"/>
      <c r="B89" s="15"/>
      <c r="C89" s="15"/>
      <c r="D89" s="36"/>
      <c r="E89" s="37"/>
      <c r="F89" s="35"/>
      <c r="G89" s="35"/>
      <c r="H89" s="15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  <c r="T89" s="127"/>
      <c r="U89" s="127"/>
      <c r="V89" s="127"/>
    </row>
    <row r="90" spans="1:22" ht="15.75">
      <c r="A90" s="35"/>
      <c r="B90" s="15"/>
      <c r="C90" s="15"/>
      <c r="D90" s="36"/>
      <c r="E90" s="37"/>
      <c r="F90" s="35"/>
      <c r="G90" s="35"/>
      <c r="H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  <c r="T90" s="127"/>
      <c r="U90" s="127"/>
      <c r="V90" s="127"/>
    </row>
    <row r="91" spans="1:22" ht="15.75">
      <c r="A91" s="35"/>
      <c r="B91" s="15"/>
      <c r="C91" s="15"/>
      <c r="D91" s="36"/>
      <c r="E91" s="37"/>
      <c r="F91" s="35"/>
      <c r="G91" s="35"/>
      <c r="H91" s="15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  <c r="T91" s="127"/>
      <c r="U91" s="127"/>
      <c r="V91" s="127"/>
    </row>
    <row r="92" spans="1:22" ht="15.75">
      <c r="A92" s="35"/>
      <c r="B92" s="15"/>
      <c r="C92" s="15"/>
      <c r="D92" s="36"/>
      <c r="E92" s="37"/>
      <c r="F92" s="35"/>
      <c r="G92" s="35"/>
      <c r="H92" s="15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  <c r="T92" s="127"/>
      <c r="U92" s="127"/>
      <c r="V92" s="127"/>
    </row>
    <row r="93" spans="1:22" ht="15.75">
      <c r="A93" s="35"/>
      <c r="B93" s="15"/>
      <c r="C93" s="15"/>
      <c r="D93" s="36"/>
      <c r="E93" s="37"/>
      <c r="F93" s="35"/>
      <c r="G93" s="35"/>
      <c r="H93" s="15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  <c r="T93" s="127"/>
      <c r="U93" s="127"/>
      <c r="V93" s="127"/>
    </row>
    <row r="94" spans="1:22" ht="15.75">
      <c r="A94" s="35"/>
      <c r="B94" s="15"/>
      <c r="C94" s="15"/>
      <c r="D94" s="36"/>
      <c r="E94" s="37"/>
      <c r="F94" s="35"/>
      <c r="G94" s="35"/>
      <c r="H94" s="15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  <c r="T94" s="127"/>
      <c r="U94" s="127"/>
      <c r="V94" s="127"/>
    </row>
    <row r="95" spans="1:22" ht="15.75">
      <c r="A95" s="35"/>
      <c r="B95" s="15"/>
      <c r="C95" s="15"/>
      <c r="D95" s="36"/>
      <c r="E95" s="37"/>
      <c r="F95" s="35"/>
      <c r="G95" s="35"/>
      <c r="H95" s="15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  <c r="T95" s="127"/>
      <c r="U95" s="127"/>
      <c r="V95" s="127"/>
    </row>
    <row r="96" spans="1:22" ht="15.75">
      <c r="A96" s="35"/>
      <c r="B96" s="15"/>
      <c r="C96" s="15"/>
      <c r="D96" s="36"/>
      <c r="E96" s="37"/>
      <c r="F96" s="35"/>
      <c r="G96" s="35"/>
      <c r="H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  <c r="T96" s="127"/>
      <c r="U96" s="127"/>
      <c r="V96" s="127"/>
    </row>
    <row r="97" spans="1:22" ht="15.75">
      <c r="A97" s="35"/>
      <c r="B97" s="15"/>
      <c r="C97" s="15"/>
      <c r="D97" s="36"/>
      <c r="E97" s="37"/>
      <c r="F97" s="35"/>
      <c r="G97" s="35"/>
      <c r="H97" s="15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  <c r="T97" s="127"/>
      <c r="U97" s="127"/>
      <c r="V97" s="127"/>
    </row>
    <row r="98" spans="1:22" ht="15.75">
      <c r="A98" s="35"/>
      <c r="B98" s="15"/>
      <c r="C98" s="15"/>
      <c r="D98" s="36"/>
      <c r="E98" s="37"/>
      <c r="F98" s="35"/>
      <c r="G98" s="35"/>
      <c r="H98" s="15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  <c r="T98" s="127"/>
      <c r="U98" s="127"/>
      <c r="V98" s="127"/>
    </row>
    <row r="99" spans="1:22" ht="15.75">
      <c r="A99" s="35"/>
      <c r="B99" s="15"/>
      <c r="C99" s="15"/>
      <c r="D99" s="36"/>
      <c r="E99" s="37"/>
      <c r="F99" s="35"/>
      <c r="G99" s="35"/>
      <c r="H99" s="15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  <c r="T99" s="127"/>
      <c r="U99" s="127"/>
      <c r="V99" s="127"/>
    </row>
    <row r="100" spans="1:22" ht="15.75">
      <c r="A100" s="35"/>
      <c r="B100" s="15"/>
      <c r="C100" s="15"/>
      <c r="D100" s="36"/>
      <c r="E100" s="37"/>
      <c r="F100" s="35"/>
      <c r="G100" s="35"/>
      <c r="H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  <c r="T100" s="127"/>
      <c r="U100" s="127"/>
      <c r="V100" s="127"/>
    </row>
    <row r="101" spans="1:22" ht="15.75">
      <c r="A101" s="35"/>
      <c r="B101" s="15"/>
      <c r="C101" s="15"/>
      <c r="D101" s="36"/>
      <c r="E101" s="37"/>
      <c r="F101" s="35"/>
      <c r="G101" s="35"/>
      <c r="H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  <c r="T101" s="127"/>
      <c r="U101" s="127"/>
      <c r="V101" s="127"/>
    </row>
    <row r="102" spans="1:22" ht="15.75">
      <c r="A102" s="35"/>
      <c r="B102" s="15"/>
      <c r="C102" s="15"/>
      <c r="D102" s="36"/>
      <c r="E102" s="37"/>
      <c r="F102" s="35"/>
      <c r="G102" s="35"/>
      <c r="H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  <c r="T102" s="127"/>
      <c r="U102" s="127"/>
      <c r="V102" s="127"/>
    </row>
    <row r="103" spans="1:22" ht="15.75">
      <c r="A103" s="35"/>
      <c r="B103" s="15"/>
      <c r="C103" s="15"/>
      <c r="D103" s="36"/>
      <c r="E103" s="37"/>
      <c r="F103" s="35"/>
      <c r="G103" s="35"/>
      <c r="H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  <c r="T103" s="127"/>
      <c r="U103" s="127"/>
      <c r="V103" s="127"/>
    </row>
    <row r="104" spans="1:22" ht="15.75">
      <c r="A104" s="35"/>
      <c r="B104" s="15"/>
      <c r="C104" s="15"/>
      <c r="D104" s="36"/>
      <c r="E104" s="37"/>
      <c r="F104" s="35"/>
      <c r="G104" s="35"/>
      <c r="H104" s="15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  <c r="T104" s="127"/>
      <c r="U104" s="127"/>
      <c r="V104" s="127"/>
    </row>
    <row r="105" spans="1:22" ht="15.75">
      <c r="A105" s="35"/>
      <c r="B105" s="15"/>
      <c r="C105" s="15"/>
      <c r="D105" s="36"/>
      <c r="E105" s="37"/>
      <c r="F105" s="35"/>
      <c r="G105" s="35"/>
      <c r="H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  <c r="T105" s="127"/>
      <c r="U105" s="127"/>
      <c r="V105" s="127"/>
    </row>
    <row r="106" spans="1:22" ht="15.75">
      <c r="A106" s="35"/>
      <c r="B106" s="15"/>
      <c r="C106" s="15"/>
      <c r="D106" s="36"/>
      <c r="E106" s="37"/>
      <c r="F106" s="35"/>
      <c r="G106" s="35"/>
      <c r="H106" s="15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  <c r="T106" s="127"/>
      <c r="U106" s="127"/>
      <c r="V106" s="127"/>
    </row>
    <row r="107" spans="1:22" ht="15.75">
      <c r="A107" s="35"/>
      <c r="B107" s="15"/>
      <c r="C107" s="15"/>
      <c r="D107" s="36"/>
      <c r="E107" s="37"/>
      <c r="F107" s="35"/>
      <c r="G107" s="35"/>
      <c r="H107" s="15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  <c r="T107" s="127"/>
      <c r="U107" s="127"/>
      <c r="V107" s="127"/>
    </row>
    <row r="108" spans="1:22" ht="15.75">
      <c r="A108" s="35"/>
      <c r="B108" s="15"/>
      <c r="C108" s="15"/>
      <c r="D108" s="36"/>
      <c r="E108" s="37"/>
      <c r="F108" s="35"/>
      <c r="G108" s="35"/>
      <c r="H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  <c r="T108" s="127"/>
      <c r="U108" s="127"/>
      <c r="V108" s="127"/>
    </row>
    <row r="109" spans="1:22" ht="15.75">
      <c r="A109" s="35"/>
      <c r="B109" s="15"/>
      <c r="C109" s="15"/>
      <c r="D109" s="36"/>
      <c r="E109" s="37"/>
      <c r="F109" s="35"/>
      <c r="G109" s="35"/>
      <c r="H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  <c r="T109" s="127"/>
      <c r="U109" s="127"/>
      <c r="V109" s="127"/>
    </row>
    <row r="110" spans="1:22" ht="15.75">
      <c r="A110" s="35"/>
      <c r="B110" s="15"/>
      <c r="C110" s="15"/>
      <c r="D110" s="36"/>
      <c r="E110" s="37"/>
      <c r="F110" s="35"/>
      <c r="G110" s="35"/>
      <c r="H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  <c r="T110" s="127"/>
      <c r="U110" s="127"/>
      <c r="V110" s="127"/>
    </row>
    <row r="111" spans="1:22" ht="15.75">
      <c r="A111" s="35"/>
      <c r="B111" s="15"/>
      <c r="C111" s="15"/>
      <c r="D111" s="36"/>
      <c r="E111" s="37"/>
      <c r="F111" s="35"/>
      <c r="G111" s="35"/>
      <c r="H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  <c r="T111" s="127"/>
      <c r="U111" s="127"/>
      <c r="V111" s="127"/>
    </row>
    <row r="112" spans="1:22" ht="15.75">
      <c r="A112" s="35"/>
      <c r="B112" s="15"/>
      <c r="C112" s="15"/>
      <c r="D112" s="36"/>
      <c r="E112" s="37"/>
      <c r="F112" s="35"/>
      <c r="G112" s="35"/>
      <c r="H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  <c r="T112" s="127"/>
      <c r="U112" s="127"/>
      <c r="V112" s="127"/>
    </row>
    <row r="113" spans="1:22" ht="15.75">
      <c r="A113" s="35"/>
      <c r="B113" s="15"/>
      <c r="C113" s="15"/>
      <c r="D113" s="36"/>
      <c r="E113" s="37"/>
      <c r="F113" s="35"/>
      <c r="G113" s="35"/>
      <c r="H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  <c r="T113" s="127"/>
      <c r="U113" s="127"/>
      <c r="V113" s="127"/>
    </row>
    <row r="114" spans="1:22" ht="15.75">
      <c r="A114" s="35"/>
      <c r="B114" s="15"/>
      <c r="C114" s="15"/>
      <c r="D114" s="36"/>
      <c r="E114" s="37"/>
      <c r="F114" s="35"/>
      <c r="G114" s="35"/>
      <c r="H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  <c r="T114" s="127"/>
      <c r="U114" s="127"/>
      <c r="V114" s="127"/>
    </row>
    <row r="115" spans="1:22" ht="15.75">
      <c r="A115" s="35"/>
      <c r="B115" s="15"/>
      <c r="C115" s="15"/>
      <c r="D115" s="36"/>
      <c r="E115" s="37"/>
      <c r="F115" s="35"/>
      <c r="G115" s="35"/>
      <c r="H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  <c r="T115" s="127"/>
      <c r="U115" s="127"/>
      <c r="V115" s="127"/>
    </row>
    <row r="116" spans="1:22" ht="15.75">
      <c r="A116" s="35"/>
      <c r="B116" s="15"/>
      <c r="C116" s="15"/>
      <c r="D116" s="36"/>
      <c r="E116" s="37"/>
      <c r="F116" s="35"/>
      <c r="G116" s="35"/>
      <c r="H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  <c r="T116" s="127"/>
      <c r="U116" s="127"/>
      <c r="V116" s="127"/>
    </row>
    <row r="117" spans="1:22" ht="15.75">
      <c r="A117" s="35"/>
      <c r="B117" s="15"/>
      <c r="C117" s="15"/>
      <c r="D117" s="36"/>
      <c r="E117" s="37"/>
      <c r="F117" s="35"/>
      <c r="G117" s="35"/>
      <c r="H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  <c r="T117" s="127"/>
      <c r="U117" s="127"/>
      <c r="V117" s="127"/>
    </row>
    <row r="118" spans="1:22" ht="15.75">
      <c r="A118" s="35"/>
      <c r="B118" s="15"/>
      <c r="C118" s="15"/>
      <c r="D118" s="36"/>
      <c r="E118" s="37"/>
      <c r="F118" s="35"/>
      <c r="G118" s="35"/>
      <c r="H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  <c r="T118" s="127"/>
      <c r="U118" s="127"/>
      <c r="V118" s="127"/>
    </row>
    <row r="119" spans="1:22" ht="15.75">
      <c r="A119" s="35"/>
      <c r="B119" s="15"/>
      <c r="C119" s="15"/>
      <c r="D119" s="36"/>
      <c r="E119" s="37"/>
      <c r="F119" s="35"/>
      <c r="G119" s="35"/>
      <c r="H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  <c r="T119" s="127"/>
      <c r="U119" s="127"/>
      <c r="V119" s="127"/>
    </row>
    <row r="120" spans="1:22" ht="15.75">
      <c r="A120" s="35"/>
      <c r="B120" s="15"/>
      <c r="C120" s="15"/>
      <c r="D120" s="36"/>
      <c r="E120" s="37"/>
      <c r="F120" s="35"/>
      <c r="G120" s="35"/>
      <c r="H120" s="15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  <c r="T120" s="127"/>
      <c r="U120" s="127"/>
      <c r="V120" s="127"/>
    </row>
    <row r="121" spans="1:22" ht="15.75">
      <c r="A121" s="35"/>
      <c r="B121" s="15"/>
      <c r="C121" s="15"/>
      <c r="D121" s="36"/>
      <c r="E121" s="37"/>
      <c r="F121" s="35"/>
      <c r="G121" s="35"/>
      <c r="H121" s="15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  <c r="T121" s="127"/>
      <c r="U121" s="127"/>
      <c r="V121" s="127"/>
    </row>
    <row r="122" spans="1:22" ht="15.75">
      <c r="A122" s="35"/>
      <c r="B122" s="15"/>
      <c r="C122" s="15"/>
      <c r="D122" s="36"/>
      <c r="E122" s="37"/>
      <c r="F122" s="35"/>
      <c r="G122" s="35"/>
      <c r="H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  <c r="T122" s="127"/>
      <c r="U122" s="127"/>
      <c r="V122" s="127"/>
    </row>
    <row r="123" spans="1:22" ht="15.75">
      <c r="A123" s="35"/>
      <c r="B123" s="15"/>
      <c r="C123" s="15"/>
      <c r="D123" s="36"/>
      <c r="E123" s="37"/>
      <c r="F123" s="35"/>
      <c r="G123" s="35"/>
      <c r="H123" s="15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  <c r="T123" s="127"/>
      <c r="U123" s="127"/>
      <c r="V123" s="127"/>
    </row>
    <row r="124" spans="1:22" ht="15.75">
      <c r="A124" s="35"/>
      <c r="B124" s="15"/>
      <c r="C124" s="15"/>
      <c r="D124" s="36"/>
      <c r="E124" s="37"/>
      <c r="F124" s="35"/>
      <c r="G124" s="35"/>
      <c r="H124" s="15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  <c r="T124" s="127"/>
      <c r="U124" s="127"/>
      <c r="V124" s="127"/>
    </row>
    <row r="125" spans="1:22" ht="15.75">
      <c r="A125" s="35"/>
      <c r="B125" s="15"/>
      <c r="C125" s="15"/>
      <c r="D125" s="36"/>
      <c r="E125" s="37"/>
      <c r="F125" s="35"/>
      <c r="G125" s="35"/>
      <c r="H125" s="15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  <c r="T125" s="127"/>
      <c r="U125" s="127"/>
      <c r="V125" s="127"/>
    </row>
    <row r="126" spans="1:22" ht="15.75">
      <c r="A126" s="35"/>
      <c r="B126" s="15"/>
      <c r="C126" s="15"/>
      <c r="D126" s="36"/>
      <c r="E126" s="37"/>
      <c r="F126" s="35"/>
      <c r="G126" s="35"/>
      <c r="H126" s="15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  <c r="T126" s="127"/>
      <c r="U126" s="127"/>
      <c r="V126" s="127"/>
    </row>
    <row r="127" spans="1:22" ht="15.75">
      <c r="A127" s="35"/>
      <c r="B127" s="15"/>
      <c r="C127" s="15"/>
      <c r="D127" s="36"/>
      <c r="E127" s="37"/>
      <c r="F127" s="35"/>
      <c r="G127" s="35"/>
      <c r="H127" s="15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  <c r="T127" s="127"/>
      <c r="U127" s="127"/>
      <c r="V127" s="127"/>
    </row>
    <row r="128" spans="1:22" ht="15.75">
      <c r="A128" s="35"/>
      <c r="B128" s="15"/>
      <c r="C128" s="15"/>
      <c r="D128" s="36"/>
      <c r="E128" s="37"/>
      <c r="F128" s="35"/>
      <c r="G128" s="35"/>
      <c r="H128" s="15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  <c r="T128" s="127"/>
      <c r="U128" s="127"/>
      <c r="V128" s="127"/>
    </row>
    <row r="129" spans="1:22" ht="15.75">
      <c r="A129" s="35"/>
      <c r="B129" s="15"/>
      <c r="C129" s="15"/>
      <c r="D129" s="36"/>
      <c r="E129" s="37"/>
      <c r="F129" s="35"/>
      <c r="G129" s="35"/>
      <c r="H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  <c r="T129" s="127"/>
      <c r="U129" s="127"/>
      <c r="V129" s="127"/>
    </row>
    <row r="130" spans="1:22" ht="15.75">
      <c r="A130" s="35"/>
      <c r="B130" s="15"/>
      <c r="C130" s="15"/>
      <c r="D130" s="36"/>
      <c r="E130" s="37"/>
      <c r="F130" s="35"/>
      <c r="G130" s="35"/>
      <c r="H130" s="15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  <c r="T130" s="127"/>
      <c r="U130" s="127"/>
      <c r="V130" s="127"/>
    </row>
    <row r="131" spans="1:22" ht="15.75">
      <c r="A131" s="35"/>
      <c r="B131" s="15"/>
      <c r="C131" s="15"/>
      <c r="D131" s="36"/>
      <c r="E131" s="37"/>
      <c r="F131" s="35"/>
      <c r="G131" s="35"/>
      <c r="H131" s="15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  <c r="T131" s="127"/>
      <c r="U131" s="127"/>
      <c r="V131" s="127"/>
    </row>
    <row r="132" spans="1:22" ht="15.75">
      <c r="A132" s="35"/>
      <c r="B132" s="15"/>
      <c r="C132" s="15"/>
      <c r="D132" s="36"/>
      <c r="E132" s="37"/>
      <c r="F132" s="35"/>
      <c r="G132" s="35"/>
      <c r="H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  <c r="T132" s="127"/>
      <c r="U132" s="127"/>
      <c r="V132" s="127"/>
    </row>
    <row r="133" spans="1:22" ht="15.75">
      <c r="A133" s="35"/>
      <c r="B133" s="15"/>
      <c r="C133" s="15"/>
      <c r="D133" s="36"/>
      <c r="E133" s="37"/>
      <c r="F133" s="35"/>
      <c r="G133" s="35"/>
      <c r="H133" s="15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  <c r="T133" s="127"/>
      <c r="U133" s="127"/>
      <c r="V133" s="127"/>
    </row>
    <row r="134" spans="1:22" ht="15.75">
      <c r="A134" s="35"/>
      <c r="B134" s="15"/>
      <c r="C134" s="15"/>
      <c r="D134" s="36"/>
      <c r="E134" s="37"/>
      <c r="F134" s="35"/>
      <c r="G134" s="35"/>
      <c r="H134" s="15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  <c r="T134" s="127"/>
      <c r="U134" s="127"/>
      <c r="V134" s="127"/>
    </row>
    <row r="135" spans="1:22" ht="15.75">
      <c r="A135" s="35"/>
      <c r="B135" s="15"/>
      <c r="C135" s="15"/>
      <c r="D135" s="36"/>
      <c r="E135" s="37"/>
      <c r="F135" s="35"/>
      <c r="G135" s="35"/>
      <c r="H135" s="15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  <c r="T135" s="127"/>
      <c r="U135" s="127"/>
      <c r="V135" s="127"/>
    </row>
    <row r="136" spans="1:22" ht="15.75">
      <c r="A136" s="35"/>
      <c r="B136" s="15"/>
      <c r="C136" s="15"/>
      <c r="D136" s="36"/>
      <c r="E136" s="37"/>
      <c r="F136" s="35"/>
      <c r="G136" s="35"/>
      <c r="H136" s="15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  <c r="T136" s="127"/>
      <c r="U136" s="127"/>
      <c r="V136" s="127"/>
    </row>
    <row r="137" spans="1:22" ht="15.75">
      <c r="A137" s="35"/>
      <c r="B137" s="15"/>
      <c r="C137" s="15"/>
      <c r="D137" s="36"/>
      <c r="E137" s="37"/>
      <c r="F137" s="35"/>
      <c r="G137" s="35"/>
      <c r="H137" s="15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  <c r="T137" s="127"/>
      <c r="U137" s="127"/>
      <c r="V137" s="127"/>
    </row>
    <row r="138" spans="1:22" ht="15.75">
      <c r="A138" s="35"/>
      <c r="B138" s="15"/>
      <c r="C138" s="15"/>
      <c r="D138" s="36"/>
      <c r="E138" s="37"/>
      <c r="F138" s="35"/>
      <c r="G138" s="35"/>
      <c r="H138" s="15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  <c r="T138" s="127"/>
      <c r="U138" s="127"/>
      <c r="V138" s="127"/>
    </row>
    <row r="139" spans="1:22" ht="15.75">
      <c r="A139" s="35"/>
      <c r="B139" s="15"/>
      <c r="C139" s="15"/>
      <c r="D139" s="36"/>
      <c r="E139" s="37"/>
      <c r="F139" s="35"/>
      <c r="G139" s="35"/>
      <c r="H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  <c r="T139" s="127"/>
      <c r="U139" s="127"/>
      <c r="V139" s="127"/>
    </row>
    <row r="140" spans="1:22" ht="15.75">
      <c r="A140" s="35"/>
      <c r="B140" s="15"/>
      <c r="C140" s="15"/>
      <c r="D140" s="36"/>
      <c r="E140" s="37"/>
      <c r="F140" s="35"/>
      <c r="G140" s="35"/>
      <c r="H140" s="15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  <c r="T140" s="127"/>
      <c r="U140" s="127"/>
      <c r="V140" s="127"/>
    </row>
    <row r="141" spans="1:22" ht="15.75">
      <c r="A141" s="35"/>
      <c r="B141" s="15"/>
      <c r="C141" s="15"/>
      <c r="D141" s="36"/>
      <c r="E141" s="37"/>
      <c r="F141" s="35"/>
      <c r="G141" s="35"/>
      <c r="H141" s="15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  <c r="T141" s="127"/>
      <c r="U141" s="127"/>
      <c r="V141" s="127"/>
    </row>
    <row r="142" spans="1:22" ht="15.75">
      <c r="A142" s="35"/>
      <c r="B142" s="15"/>
      <c r="C142" s="15"/>
      <c r="D142" s="36"/>
      <c r="E142" s="37"/>
      <c r="F142" s="35"/>
      <c r="G142" s="35"/>
      <c r="H142" s="15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  <c r="T142" s="127"/>
      <c r="U142" s="127"/>
      <c r="V142" s="127"/>
    </row>
    <row r="143" spans="1:22" ht="15.75">
      <c r="A143" s="35"/>
      <c r="B143" s="15"/>
      <c r="C143" s="15"/>
      <c r="D143" s="36"/>
      <c r="E143" s="37"/>
      <c r="F143" s="35"/>
      <c r="G143" s="35"/>
      <c r="H143" s="15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  <c r="T143" s="127"/>
      <c r="U143" s="127"/>
      <c r="V143" s="127"/>
    </row>
    <row r="144" spans="1:22" ht="15.75">
      <c r="A144" s="35"/>
      <c r="B144" s="15"/>
      <c r="C144" s="15"/>
      <c r="D144" s="36"/>
      <c r="E144" s="37"/>
      <c r="F144" s="35"/>
      <c r="G144" s="35"/>
      <c r="H144" s="15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  <c r="T144" s="127"/>
      <c r="U144" s="127"/>
      <c r="V144" s="127"/>
    </row>
    <row r="145" spans="1:22" ht="15.75">
      <c r="A145" s="35"/>
      <c r="B145" s="15"/>
      <c r="C145" s="15"/>
      <c r="D145" s="36"/>
      <c r="E145" s="37"/>
      <c r="F145" s="35"/>
      <c r="G145" s="35"/>
      <c r="H145" s="15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  <c r="T145" s="127"/>
      <c r="U145" s="127"/>
      <c r="V145" s="127"/>
    </row>
    <row r="146" spans="1:22" ht="15.75">
      <c r="A146" s="35"/>
      <c r="B146" s="15"/>
      <c r="C146" s="15"/>
      <c r="D146" s="36"/>
      <c r="E146" s="37"/>
      <c r="F146" s="35"/>
      <c r="G146" s="35"/>
      <c r="H146" s="15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  <c r="T146" s="127"/>
      <c r="U146" s="127"/>
      <c r="V146" s="127"/>
    </row>
    <row r="147" spans="1:22" ht="15.75">
      <c r="A147" s="35"/>
      <c r="B147" s="15"/>
      <c r="C147" s="15"/>
      <c r="D147" s="36"/>
      <c r="E147" s="37"/>
      <c r="F147" s="35"/>
      <c r="G147" s="35"/>
      <c r="H147" s="15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  <c r="T147" s="127"/>
      <c r="U147" s="127"/>
      <c r="V147" s="127"/>
    </row>
    <row r="148" spans="1:22" ht="15.75">
      <c r="A148" s="35"/>
      <c r="B148" s="15"/>
      <c r="C148" s="15"/>
      <c r="D148" s="36"/>
      <c r="E148" s="37"/>
      <c r="F148" s="35"/>
      <c r="G148" s="35"/>
      <c r="H148" s="15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  <c r="T148" s="127"/>
      <c r="U148" s="127"/>
      <c r="V148" s="127"/>
    </row>
    <row r="149" spans="1:22" ht="15.75">
      <c r="A149" s="35"/>
      <c r="B149" s="15"/>
      <c r="C149" s="15"/>
      <c r="D149" s="36"/>
      <c r="E149" s="37"/>
      <c r="F149" s="35"/>
      <c r="G149" s="35"/>
      <c r="H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  <c r="T149" s="127"/>
      <c r="U149" s="127"/>
      <c r="V149" s="127"/>
    </row>
    <row r="150" spans="1:22" ht="15.75">
      <c r="A150" s="35"/>
      <c r="B150" s="15"/>
      <c r="C150" s="15"/>
      <c r="D150" s="36"/>
      <c r="E150" s="37"/>
      <c r="F150" s="35"/>
      <c r="G150" s="35"/>
      <c r="H150" s="15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  <c r="T150" s="127"/>
      <c r="U150" s="127"/>
      <c r="V150" s="127"/>
    </row>
  </sheetData>
  <sheetProtection/>
  <mergeCells count="5">
    <mergeCell ref="M56:N56"/>
    <mergeCell ref="A6:B6"/>
    <mergeCell ref="A7:B7"/>
    <mergeCell ref="A54:B54"/>
    <mergeCell ref="F1:K1"/>
  </mergeCells>
  <printOptions/>
  <pageMargins left="0" right="0" top="0" bottom="0" header="0.31496062992125984" footer="0.31496062992125984"/>
  <pageSetup fitToWidth="2" horizontalDpi="600" verticalDpi="600" orientation="landscape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2012-11-06T09:16:04Z</dcterms:modified>
  <cp:category/>
  <cp:version/>
  <cp:contentType/>
  <cp:contentStatus/>
</cp:coreProperties>
</file>