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Titles" localSheetId="0">'Лист1'!$A:$B,'Лист1'!$3:$3</definedName>
    <definedName name="_xlnm.Print_Area" localSheetId="0">'Лист1'!$A$1:$S$57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<sst xmlns="http://schemas.openxmlformats.org/spreadsheetml/2006/main" count="72" uniqueCount="72">
  <si>
    <t>№
 п.п.</t>
  </si>
  <si>
    <t>Образовательное
 учреждение</t>
  </si>
  <si>
    <t>Савостьяновская</t>
  </si>
  <si>
    <t>Школа-детсад № 1</t>
  </si>
  <si>
    <t>Итого нач.шк.</t>
  </si>
  <si>
    <t>Основные школы сел.</t>
  </si>
  <si>
    <t>Абрамовская</t>
  </si>
  <si>
    <t>Анциферовская</t>
  </si>
  <si>
    <t>Войново-Горская</t>
  </si>
  <si>
    <t>Горская</t>
  </si>
  <si>
    <t>Заволенская</t>
  </si>
  <si>
    <t>Мисцевская № 1</t>
  </si>
  <si>
    <t>Мисцевская № 2</t>
  </si>
  <si>
    <t>Ново-Снопковская</t>
  </si>
  <si>
    <t>Юркинская</t>
  </si>
  <si>
    <t>Итого основн.шк.сельск.</t>
  </si>
  <si>
    <t>Средние школы сельск.</t>
  </si>
  <si>
    <t>Авсюнинская</t>
  </si>
  <si>
    <t>Верейская</t>
  </si>
  <si>
    <t>Губинская</t>
  </si>
  <si>
    <t>Запутновская</t>
  </si>
  <si>
    <t>Ильинская</t>
  </si>
  <si>
    <t>Кабановская</t>
  </si>
  <si>
    <t>Малодубенская</t>
  </si>
  <si>
    <t>Новинская</t>
  </si>
  <si>
    <t>Озерецкая</t>
  </si>
  <si>
    <t>Соболевская</t>
  </si>
  <si>
    <t>Давыдовская гимназия</t>
  </si>
  <si>
    <t>Давыдовский лицей</t>
  </si>
  <si>
    <t>Демиховская</t>
  </si>
  <si>
    <t>Щетиновская</t>
  </si>
  <si>
    <t>Итого средние школы сельск.</t>
  </si>
  <si>
    <t>ВСЕГО сельские</t>
  </si>
  <si>
    <t>Основные шк. городские</t>
  </si>
  <si>
    <t>Ликино-Дулевская № 2</t>
  </si>
  <si>
    <t>Ликино-Дулевская № 3</t>
  </si>
  <si>
    <t>Ликино-Дулевская № 4</t>
  </si>
  <si>
    <t>ЦППРиК</t>
  </si>
  <si>
    <t>Итого основн.шк. городск.</t>
  </si>
  <si>
    <t>Средние шк. городские</t>
  </si>
  <si>
    <t>Дрезненская № 1</t>
  </si>
  <si>
    <t>Дрезненская № 2(гимназия)</t>
  </si>
  <si>
    <t>Куровская № 1</t>
  </si>
  <si>
    <t>Куровская № 2</t>
  </si>
  <si>
    <t>Куровская № 6</t>
  </si>
  <si>
    <t>Куровская гимназия</t>
  </si>
  <si>
    <t>Ликино-Дулевская гимназ.</t>
  </si>
  <si>
    <t>Ликино-Дулевская лицей</t>
  </si>
  <si>
    <t>Ликино-Дулевкая № 5</t>
  </si>
  <si>
    <t>Итого средние шк. Городские</t>
  </si>
  <si>
    <t>ВСЕГО городские</t>
  </si>
  <si>
    <t>Ильинский интернат</t>
  </si>
  <si>
    <t>ВСЕГО школы</t>
  </si>
  <si>
    <t>ФОТ  ОУ (тыс.руб.)</t>
  </si>
  <si>
    <t>суммарное число работников ОУ
 (чел.)</t>
  </si>
  <si>
    <t>ФОТ (директор,заместители директора) (тыс.руб.)</t>
  </si>
  <si>
    <t>суммарное число работников (директор,заместители директора) (чел.)</t>
  </si>
  <si>
    <t>ФОТ учителей (высшая категория) (тыс.руб.)</t>
  </si>
  <si>
    <t>суммарное число учителей (высшая категория) (чел.)</t>
  </si>
  <si>
    <t>ФОТ учителей (первая категория) (тыс.руб.)</t>
  </si>
  <si>
    <t>суммарное число учителей (первая категория) (чел.)</t>
  </si>
  <si>
    <t>ФОТ учителей (без категории) (тыс.руб.)</t>
  </si>
  <si>
    <t>суммарное число учителей (без категории) (чел.)</t>
  </si>
  <si>
    <t>ФОТ (прочие пед.работники) (тыс.руб.)</t>
  </si>
  <si>
    <t>суммарное число (прочие пед.работники) (чел.)</t>
  </si>
  <si>
    <t>ФОТ (прочий обслуж.персонал) (тыс.руб.)</t>
  </si>
  <si>
    <t>суммарное число (прочий обслуж.персонал) (чел.)</t>
  </si>
  <si>
    <t>объем стимул.выплат работникам ОУ (тыс.руб.)</t>
  </si>
  <si>
    <t>ФОТ учителей Всего без совместителей</t>
  </si>
  <si>
    <t>Общая численность учителей без совместителей</t>
  </si>
  <si>
    <t xml:space="preserve"> Орехово-Зуевский район информация для заполнения мониторинга за  июль  2012 года   (в тыс.руб)
(Информация дана без дошкольных отделений)</t>
  </si>
  <si>
    <t>дата: 06.08.2012 (исполнитель: Киркиж Л.И. 4 161-830)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</si>
</sst>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3" fillId="19" borderId="0" xfId="0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1" fontId="4" fillId="34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64" fontId="4" fillId="19" borderId="13" xfId="0" applyNumberFormat="1" applyFont="1" applyFill="1" applyBorder="1" applyAlignment="1">
      <alignment/>
    </xf>
    <xf numFmtId="1" fontId="0" fillId="19" borderId="13" xfId="0" applyNumberFormat="1" applyFont="1" applyFill="1" applyBorder="1" applyAlignment="1">
      <alignment/>
    </xf>
    <xf numFmtId="1" fontId="4" fillId="19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4" fillId="34" borderId="14" xfId="0" applyNumberFormat="1" applyFont="1" applyFill="1" applyBorder="1" applyAlignment="1">
      <alignment/>
    </xf>
    <xf numFmtId="1" fontId="0" fillId="34" borderId="14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0" fontId="4" fillId="0" borderId="18" xfId="0" applyFont="1" applyBorder="1" applyAlignment="1">
      <alignment horizontal="center"/>
    </xf>
    <xf numFmtId="1" fontId="3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164" fontId="43" fillId="0" borderId="0" xfId="0" applyNumberFormat="1" applyFont="1" applyFill="1" applyBorder="1" applyAlignment="1">
      <alignment/>
    </xf>
    <xf numFmtId="0" fontId="0" fillId="7" borderId="0" xfId="0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164" fontId="4" fillId="19" borderId="2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4" fillId="34" borderId="21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0" fontId="3" fillId="2" borderId="25" xfId="0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" fontId="4" fillId="34" borderId="18" xfId="0" applyNumberFormat="1" applyFont="1" applyFill="1" applyBorder="1" applyAlignment="1">
      <alignment/>
    </xf>
    <xf numFmtId="1" fontId="4" fillId="19" borderId="18" xfId="0" applyNumberFormat="1" applyFont="1" applyFill="1" applyBorder="1" applyAlignment="1">
      <alignment/>
    </xf>
    <xf numFmtId="1" fontId="4" fillId="34" borderId="26" xfId="0" applyNumberFormat="1" applyFont="1" applyFill="1" applyBorder="1" applyAlignment="1">
      <alignment/>
    </xf>
    <xf numFmtId="1" fontId="4" fillId="33" borderId="28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164" fontId="4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1" fontId="3" fillId="0" borderId="31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164" fontId="4" fillId="34" borderId="29" xfId="0" applyNumberFormat="1" applyFont="1" applyFill="1" applyBorder="1" applyAlignment="1">
      <alignment/>
    </xf>
    <xf numFmtId="164" fontId="4" fillId="19" borderId="29" xfId="0" applyNumberFormat="1" applyFont="1" applyFill="1" applyBorder="1" applyAlignment="1">
      <alignment/>
    </xf>
    <xf numFmtId="164" fontId="4" fillId="34" borderId="30" xfId="0" applyNumberFormat="1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4" fontId="4" fillId="33" borderId="33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right"/>
    </xf>
    <xf numFmtId="0" fontId="0" fillId="34" borderId="20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right"/>
    </xf>
    <xf numFmtId="0" fontId="0" fillId="19" borderId="20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right"/>
    </xf>
    <xf numFmtId="0" fontId="0" fillId="34" borderId="21" xfId="0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3" fillId="36" borderId="11" xfId="0" applyFont="1" applyFill="1" applyBorder="1" applyAlignment="1">
      <alignment horizontal="center" wrapText="1"/>
    </xf>
    <xf numFmtId="1" fontId="3" fillId="36" borderId="11" xfId="0" applyNumberFormat="1" applyFont="1" applyFill="1" applyBorder="1" applyAlignment="1">
      <alignment horizontal="center" vertical="center" wrapText="1"/>
    </xf>
    <xf numFmtId="164" fontId="3" fillId="36" borderId="11" xfId="0" applyNumberFormat="1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38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 wrapText="1"/>
    </xf>
    <xf numFmtId="164" fontId="0" fillId="0" borderId="34" xfId="0" applyNumberFormat="1" applyFont="1" applyFill="1" applyBorder="1" applyAlignment="1">
      <alignment horizontal="right"/>
    </xf>
    <xf numFmtId="1" fontId="25" fillId="0" borderId="13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164" fontId="0" fillId="34" borderId="12" xfId="0" applyNumberFormat="1" applyFont="1" applyFill="1" applyBorder="1" applyAlignment="1">
      <alignment horizontal="right"/>
    </xf>
    <xf numFmtId="164" fontId="0" fillId="19" borderId="12" xfId="0" applyNumberFormat="1" applyFont="1" applyFill="1" applyBorder="1" applyAlignment="1">
      <alignment horizontal="right"/>
    </xf>
    <xf numFmtId="164" fontId="4" fillId="33" borderId="13" xfId="0" applyNumberFormat="1" applyFont="1" applyFill="1" applyBorder="1" applyAlignment="1">
      <alignment/>
    </xf>
    <xf numFmtId="1" fontId="0" fillId="33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center"/>
    </xf>
    <xf numFmtId="164" fontId="4" fillId="33" borderId="29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4" fillId="19" borderId="12" xfId="0" applyFont="1" applyFill="1" applyBorder="1" applyAlignment="1">
      <alignment/>
    </xf>
    <xf numFmtId="0" fontId="4" fillId="19" borderId="1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1"/>
  <sheetViews>
    <sheetView tabSelected="1" zoomScale="80" zoomScaleNormal="80" zoomScaleSheetLayoutView="65" zoomScalePageLayoutView="0" workbookViewId="0" topLeftCell="A3">
      <pane xSplit="2" ySplit="2" topLeftCell="C41" activePane="bottomRight" state="frozen"/>
      <selection pane="topLeft" activeCell="A3" sqref="A3"/>
      <selection pane="topRight" activeCell="C3" sqref="C3"/>
      <selection pane="bottomLeft" activeCell="A5" sqref="A5"/>
      <selection pane="bottomRight" activeCell="T29" sqref="T29"/>
    </sheetView>
  </sheetViews>
  <sheetFormatPr defaultColWidth="13.28125" defaultRowHeight="15"/>
  <cols>
    <col min="1" max="1" width="3.8515625" style="6" customWidth="1"/>
    <col min="2" max="2" width="31.7109375" style="4" customWidth="1"/>
    <col min="3" max="3" width="15.140625" style="4" customWidth="1"/>
    <col min="4" max="4" width="15.57421875" style="2" customWidth="1"/>
    <col min="5" max="5" width="17.140625" style="1" customWidth="1"/>
    <col min="6" max="6" width="16.8515625" style="6" customWidth="1"/>
    <col min="7" max="7" width="16.140625" style="6" customWidth="1"/>
    <col min="8" max="8" width="15.00390625" style="4" customWidth="1"/>
    <col min="9" max="9" width="18.7109375" style="4" customWidth="1"/>
    <col min="10" max="10" width="15.00390625" style="4" customWidth="1"/>
    <col min="11" max="11" width="14.140625" style="4" customWidth="1"/>
    <col min="12" max="12" width="15.140625" style="3" customWidth="1"/>
    <col min="13" max="13" width="13.421875" style="3" customWidth="1"/>
    <col min="14" max="14" width="13.8515625" style="3" customWidth="1"/>
    <col min="15" max="15" width="12.57421875" style="3" customWidth="1"/>
    <col min="16" max="16" width="18.421875" style="3" customWidth="1"/>
    <col min="17" max="17" width="13.28125" style="3" customWidth="1"/>
    <col min="18" max="18" width="14.8515625" style="3" customWidth="1"/>
    <col min="19" max="19" width="14.57421875" style="3" customWidth="1"/>
    <col min="20" max="20" width="14.421875" style="3" customWidth="1"/>
    <col min="21" max="21" width="16.421875" style="4" customWidth="1"/>
    <col min="22" max="22" width="11.00390625" style="4" customWidth="1"/>
    <col min="23" max="23" width="9.140625" style="4" customWidth="1"/>
    <col min="24" max="250" width="9.140625" style="3" customWidth="1"/>
    <col min="251" max="251" width="3.57421875" style="3" customWidth="1"/>
    <col min="252" max="252" width="29.140625" style="3" customWidth="1"/>
    <col min="253" max="253" width="14.00390625" style="3" customWidth="1"/>
    <col min="254" max="254" width="16.140625" style="3" customWidth="1"/>
    <col min="255" max="255" width="10.140625" style="3" customWidth="1"/>
    <col min="256" max="16384" width="13.28125" style="3" customWidth="1"/>
  </cols>
  <sheetData>
    <row r="1" spans="1:20" ht="52.5" customHeight="1">
      <c r="A1" s="10"/>
      <c r="B1" s="10"/>
      <c r="C1" s="10"/>
      <c r="D1" s="10"/>
      <c r="E1" s="10"/>
      <c r="F1" s="153" t="s">
        <v>70</v>
      </c>
      <c r="G1" s="153"/>
      <c r="H1" s="153"/>
      <c r="I1" s="153"/>
      <c r="J1" s="153"/>
      <c r="K1" s="153"/>
      <c r="L1" s="10"/>
      <c r="M1" s="10"/>
      <c r="N1" s="10"/>
      <c r="O1" s="10"/>
      <c r="P1" s="10"/>
      <c r="Q1" s="10"/>
      <c r="R1" s="10"/>
      <c r="S1" s="10"/>
      <c r="T1" s="10"/>
    </row>
    <row r="2" spans="1:20" ht="23.25" customHeight="1" thickBot="1">
      <c r="A2" s="11"/>
      <c r="B2" s="10"/>
      <c r="C2" s="12"/>
      <c r="D2" s="13"/>
      <c r="E2" s="14"/>
      <c r="F2" s="12"/>
      <c r="G2" s="12"/>
      <c r="H2" s="15"/>
      <c r="I2" s="15"/>
      <c r="J2" s="15"/>
      <c r="K2" s="15"/>
      <c r="L2" s="16"/>
      <c r="M2" s="16"/>
      <c r="N2" s="16"/>
      <c r="O2" s="16"/>
      <c r="P2" s="16"/>
      <c r="Q2" s="16"/>
      <c r="R2" s="16"/>
      <c r="S2" s="16"/>
      <c r="T2" s="16"/>
    </row>
    <row r="3" spans="1:23" ht="111.75" customHeight="1">
      <c r="A3" s="17" t="s">
        <v>0</v>
      </c>
      <c r="B3" s="18" t="s">
        <v>1</v>
      </c>
      <c r="C3" s="110" t="s">
        <v>53</v>
      </c>
      <c r="D3" s="111" t="s">
        <v>54</v>
      </c>
      <c r="E3" s="112" t="s">
        <v>55</v>
      </c>
      <c r="F3" s="110" t="s">
        <v>56</v>
      </c>
      <c r="G3" s="19" t="s">
        <v>57</v>
      </c>
      <c r="H3" s="19" t="s">
        <v>58</v>
      </c>
      <c r="I3" s="19" t="s">
        <v>59</v>
      </c>
      <c r="J3" s="20" t="s">
        <v>60</v>
      </c>
      <c r="K3" s="20" t="s">
        <v>61</v>
      </c>
      <c r="L3" s="74" t="s">
        <v>62</v>
      </c>
      <c r="M3" s="113" t="s">
        <v>68</v>
      </c>
      <c r="N3" s="114" t="s">
        <v>69</v>
      </c>
      <c r="O3" s="115" t="s">
        <v>63</v>
      </c>
      <c r="P3" s="110" t="s">
        <v>64</v>
      </c>
      <c r="Q3" s="110" t="s">
        <v>65</v>
      </c>
      <c r="R3" s="110" t="s">
        <v>66</v>
      </c>
      <c r="S3" s="114" t="s">
        <v>67</v>
      </c>
      <c r="T3" s="58"/>
      <c r="U3" s="157"/>
      <c r="V3" s="157"/>
      <c r="W3" s="157"/>
    </row>
    <row r="4" spans="1:23" s="5" customFormat="1" ht="12" customHeight="1">
      <c r="A4" s="21">
        <v>1</v>
      </c>
      <c r="B4" s="22">
        <v>2</v>
      </c>
      <c r="C4" s="22">
        <v>3</v>
      </c>
      <c r="D4" s="23">
        <v>4</v>
      </c>
      <c r="E4" s="23">
        <v>5</v>
      </c>
      <c r="F4" s="24">
        <v>6</v>
      </c>
      <c r="G4" s="24">
        <v>7</v>
      </c>
      <c r="H4" s="22">
        <v>8</v>
      </c>
      <c r="I4" s="22">
        <v>9</v>
      </c>
      <c r="J4" s="22">
        <v>10</v>
      </c>
      <c r="K4" s="22">
        <v>11</v>
      </c>
      <c r="L4" s="55">
        <v>12</v>
      </c>
      <c r="M4" s="92">
        <v>13</v>
      </c>
      <c r="N4" s="64">
        <v>14</v>
      </c>
      <c r="O4" s="82">
        <v>15</v>
      </c>
      <c r="P4" s="25">
        <v>16</v>
      </c>
      <c r="Q4" s="25">
        <v>17</v>
      </c>
      <c r="R4" s="25">
        <v>18</v>
      </c>
      <c r="S4" s="64">
        <v>19</v>
      </c>
      <c r="T4" s="59"/>
      <c r="U4" s="158"/>
      <c r="V4" s="158"/>
      <c r="W4" s="158"/>
    </row>
    <row r="5" spans="1:22" s="4" customFormat="1" ht="15.75">
      <c r="A5" s="131">
        <v>1</v>
      </c>
      <c r="B5" s="132" t="s">
        <v>2</v>
      </c>
      <c r="C5" s="26">
        <v>38.652</v>
      </c>
      <c r="D5" s="27">
        <v>2</v>
      </c>
      <c r="E5" s="26"/>
      <c r="F5" s="27"/>
      <c r="G5" s="26">
        <v>0</v>
      </c>
      <c r="H5" s="27">
        <v>0</v>
      </c>
      <c r="I5" s="26"/>
      <c r="J5" s="27">
        <v>1</v>
      </c>
      <c r="K5" s="26">
        <v>0</v>
      </c>
      <c r="L5" s="75">
        <v>0</v>
      </c>
      <c r="M5" s="93">
        <v>28.007</v>
      </c>
      <c r="N5" s="94">
        <v>1</v>
      </c>
      <c r="O5" s="83"/>
      <c r="P5" s="27"/>
      <c r="Q5" s="26">
        <v>10.645</v>
      </c>
      <c r="R5" s="27">
        <v>1</v>
      </c>
      <c r="S5" s="65"/>
      <c r="T5" s="15"/>
      <c r="U5" s="60"/>
      <c r="V5" s="60"/>
    </row>
    <row r="6" spans="1:22" s="4" customFormat="1" ht="16.5" thickBot="1">
      <c r="A6" s="133">
        <v>2</v>
      </c>
      <c r="B6" s="134" t="s">
        <v>3</v>
      </c>
      <c r="C6" s="39">
        <v>40.903</v>
      </c>
      <c r="D6" s="40">
        <v>1</v>
      </c>
      <c r="E6" s="39"/>
      <c r="F6" s="40"/>
      <c r="G6" s="39">
        <v>0</v>
      </c>
      <c r="H6" s="40">
        <v>0</v>
      </c>
      <c r="I6" s="39">
        <v>0</v>
      </c>
      <c r="J6" s="40">
        <v>0</v>
      </c>
      <c r="K6" s="39"/>
      <c r="L6" s="76"/>
      <c r="M6" s="116">
        <v>40.903</v>
      </c>
      <c r="N6" s="96">
        <v>1</v>
      </c>
      <c r="O6" s="84"/>
      <c r="P6" s="40"/>
      <c r="Q6" s="39"/>
      <c r="R6" s="40"/>
      <c r="S6" s="66"/>
      <c r="T6" s="15"/>
      <c r="U6" s="60"/>
      <c r="V6" s="60"/>
    </row>
    <row r="7" spans="1:22" s="4" customFormat="1" ht="16.5" thickBot="1">
      <c r="A7" s="147" t="s">
        <v>4</v>
      </c>
      <c r="B7" s="148"/>
      <c r="C7" s="46">
        <f>SUM(C5:C6)</f>
        <v>79.555</v>
      </c>
      <c r="D7" s="46">
        <f>SUM(D5:D6)</f>
        <v>3</v>
      </c>
      <c r="E7" s="46">
        <f>SUM(E5:E6)</f>
        <v>0</v>
      </c>
      <c r="F7" s="46">
        <f>SUM(F5:F6)</f>
        <v>0</v>
      </c>
      <c r="G7" s="46">
        <f aca="true" t="shared" si="0" ref="G7:S7">SUM(G5:G6)</f>
        <v>0</v>
      </c>
      <c r="H7" s="47">
        <f t="shared" si="0"/>
        <v>0</v>
      </c>
      <c r="I7" s="46">
        <f t="shared" si="0"/>
        <v>0</v>
      </c>
      <c r="J7" s="47">
        <f t="shared" si="0"/>
        <v>1</v>
      </c>
      <c r="K7" s="47">
        <f t="shared" si="0"/>
        <v>0</v>
      </c>
      <c r="L7" s="56">
        <f t="shared" si="0"/>
        <v>0</v>
      </c>
      <c r="M7" s="97">
        <f t="shared" si="0"/>
        <v>68.91</v>
      </c>
      <c r="N7" s="67">
        <f t="shared" si="0"/>
        <v>2</v>
      </c>
      <c r="O7" s="85">
        <f t="shared" si="0"/>
        <v>0</v>
      </c>
      <c r="P7" s="47">
        <f t="shared" si="0"/>
        <v>0</v>
      </c>
      <c r="Q7" s="47">
        <f t="shared" si="0"/>
        <v>10.645</v>
      </c>
      <c r="R7" s="47">
        <f t="shared" si="0"/>
        <v>1</v>
      </c>
      <c r="S7" s="67">
        <f t="shared" si="0"/>
        <v>0</v>
      </c>
      <c r="T7" s="61"/>
      <c r="U7" s="60"/>
      <c r="V7" s="60"/>
    </row>
    <row r="8" spans="1:22" s="4" customFormat="1" ht="15.75">
      <c r="A8" s="149" t="s">
        <v>5</v>
      </c>
      <c r="B8" s="150"/>
      <c r="C8" s="41"/>
      <c r="D8" s="42"/>
      <c r="E8" s="43"/>
      <c r="F8" s="42"/>
      <c r="G8" s="43"/>
      <c r="H8" s="44"/>
      <c r="I8" s="44"/>
      <c r="J8" s="45"/>
      <c r="K8" s="44"/>
      <c r="L8" s="77"/>
      <c r="M8" s="98"/>
      <c r="N8" s="99"/>
      <c r="O8" s="86"/>
      <c r="P8" s="45"/>
      <c r="Q8" s="44"/>
      <c r="R8" s="45"/>
      <c r="S8" s="68"/>
      <c r="T8" s="15"/>
      <c r="U8" s="60"/>
      <c r="V8" s="60"/>
    </row>
    <row r="9" spans="1:23" s="9" customFormat="1" ht="15.75">
      <c r="A9" s="135">
        <v>1</v>
      </c>
      <c r="B9" s="146" t="s">
        <v>6</v>
      </c>
      <c r="C9" s="28">
        <v>465.531</v>
      </c>
      <c r="D9" s="29">
        <v>22</v>
      </c>
      <c r="E9" s="28">
        <v>34.426</v>
      </c>
      <c r="F9" s="30">
        <v>1</v>
      </c>
      <c r="G9" s="28">
        <v>0</v>
      </c>
      <c r="H9" s="30">
        <v>0</v>
      </c>
      <c r="I9" s="28">
        <v>0</v>
      </c>
      <c r="J9" s="30">
        <v>0</v>
      </c>
      <c r="K9" s="28">
        <v>0</v>
      </c>
      <c r="L9" s="78">
        <v>0</v>
      </c>
      <c r="M9" s="100">
        <v>351.162</v>
      </c>
      <c r="N9" s="101">
        <v>13</v>
      </c>
      <c r="O9" s="87"/>
      <c r="P9" s="30"/>
      <c r="Q9" s="28">
        <v>79.943</v>
      </c>
      <c r="R9" s="30">
        <v>8</v>
      </c>
      <c r="S9" s="69"/>
      <c r="T9" s="15"/>
      <c r="U9" s="60"/>
      <c r="V9" s="60"/>
      <c r="W9" s="4"/>
    </row>
    <row r="10" spans="1:22" s="4" customFormat="1" ht="15.75">
      <c r="A10" s="135">
        <v>2</v>
      </c>
      <c r="B10" s="146" t="s">
        <v>7</v>
      </c>
      <c r="C10" s="26">
        <v>450.459</v>
      </c>
      <c r="D10" s="117">
        <v>20</v>
      </c>
      <c r="E10" s="26">
        <v>31.759</v>
      </c>
      <c r="F10" s="27">
        <v>1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75">
        <v>0</v>
      </c>
      <c r="M10" s="93">
        <v>303.253</v>
      </c>
      <c r="N10" s="94">
        <v>10</v>
      </c>
      <c r="O10" s="83">
        <v>22.584</v>
      </c>
      <c r="P10" s="27">
        <v>1</v>
      </c>
      <c r="Q10" s="26">
        <v>92.863</v>
      </c>
      <c r="R10" s="27">
        <v>8</v>
      </c>
      <c r="S10" s="65"/>
      <c r="T10" s="15"/>
      <c r="U10" s="60"/>
      <c r="V10" s="60"/>
    </row>
    <row r="11" spans="1:22" s="4" customFormat="1" ht="15.75">
      <c r="A11" s="135">
        <v>3</v>
      </c>
      <c r="B11" s="132" t="s">
        <v>8</v>
      </c>
      <c r="C11" s="26">
        <v>585.863</v>
      </c>
      <c r="D11" s="31">
        <v>26</v>
      </c>
      <c r="E11" s="26">
        <v>53.163</v>
      </c>
      <c r="F11" s="27">
        <v>1</v>
      </c>
      <c r="G11" s="26">
        <v>0</v>
      </c>
      <c r="H11" s="27">
        <v>0</v>
      </c>
      <c r="I11" s="26">
        <v>0</v>
      </c>
      <c r="J11" s="27">
        <v>0</v>
      </c>
      <c r="K11" s="26">
        <v>0</v>
      </c>
      <c r="L11" s="75">
        <v>0</v>
      </c>
      <c r="M11" s="93">
        <v>381.292</v>
      </c>
      <c r="N11" s="94">
        <v>13</v>
      </c>
      <c r="O11" s="83">
        <v>21.588</v>
      </c>
      <c r="P11" s="27">
        <v>1</v>
      </c>
      <c r="Q11" s="26">
        <v>129.82</v>
      </c>
      <c r="R11" s="27">
        <v>11</v>
      </c>
      <c r="S11" s="65"/>
      <c r="T11" s="15"/>
      <c r="U11" s="60"/>
      <c r="V11" s="62"/>
    </row>
    <row r="12" spans="1:22" s="4" customFormat="1" ht="15.75">
      <c r="A12" s="135">
        <v>4</v>
      </c>
      <c r="B12" s="132" t="s">
        <v>9</v>
      </c>
      <c r="C12" s="26">
        <v>355.045</v>
      </c>
      <c r="D12" s="31">
        <v>21</v>
      </c>
      <c r="E12" s="26">
        <v>53.758</v>
      </c>
      <c r="F12" s="27">
        <v>2</v>
      </c>
      <c r="G12" s="26">
        <v>0</v>
      </c>
      <c r="H12" s="27">
        <v>0</v>
      </c>
      <c r="I12" s="26">
        <v>0</v>
      </c>
      <c r="J12" s="27">
        <v>0</v>
      </c>
      <c r="K12" s="26">
        <v>0</v>
      </c>
      <c r="L12" s="75">
        <v>0</v>
      </c>
      <c r="M12" s="93">
        <v>222.206</v>
      </c>
      <c r="N12" s="94">
        <v>10</v>
      </c>
      <c r="O12" s="83">
        <v>18.85</v>
      </c>
      <c r="P12" s="27">
        <v>1</v>
      </c>
      <c r="Q12" s="26">
        <v>60.231</v>
      </c>
      <c r="R12" s="27">
        <v>8</v>
      </c>
      <c r="S12" s="65">
        <v>1.377</v>
      </c>
      <c r="T12" s="15"/>
      <c r="U12" s="60"/>
      <c r="V12" s="62"/>
    </row>
    <row r="13" spans="1:22" s="4" customFormat="1" ht="15.75">
      <c r="A13" s="135">
        <v>5</v>
      </c>
      <c r="B13" s="132" t="s">
        <v>10</v>
      </c>
      <c r="C13" s="26">
        <f>449.904-2.47</f>
        <v>447.43399999999997</v>
      </c>
      <c r="D13" s="31">
        <f>19-1</f>
        <v>18</v>
      </c>
      <c r="E13" s="26">
        <v>28.152</v>
      </c>
      <c r="F13" s="27">
        <v>1</v>
      </c>
      <c r="G13" s="26">
        <v>0</v>
      </c>
      <c r="H13" s="27">
        <v>0</v>
      </c>
      <c r="I13" s="26">
        <v>0</v>
      </c>
      <c r="J13" s="27">
        <v>0</v>
      </c>
      <c r="K13" s="26">
        <v>0</v>
      </c>
      <c r="L13" s="75">
        <v>0</v>
      </c>
      <c r="M13" s="118">
        <v>341.895</v>
      </c>
      <c r="N13" s="94">
        <v>9</v>
      </c>
      <c r="O13" s="83">
        <v>0</v>
      </c>
      <c r="P13" s="27"/>
      <c r="Q13" s="26">
        <f>79.857-2.47</f>
        <v>77.387</v>
      </c>
      <c r="R13" s="27">
        <f>9-1</f>
        <v>8</v>
      </c>
      <c r="S13" s="65"/>
      <c r="T13" s="15"/>
      <c r="U13" s="60"/>
      <c r="V13" s="60"/>
    </row>
    <row r="14" spans="1:23" s="9" customFormat="1" ht="15.75">
      <c r="A14" s="135">
        <v>6</v>
      </c>
      <c r="B14" s="132" t="s">
        <v>11</v>
      </c>
      <c r="C14" s="28">
        <v>446.165</v>
      </c>
      <c r="D14" s="29">
        <v>23</v>
      </c>
      <c r="E14" s="28">
        <v>34.316</v>
      </c>
      <c r="F14" s="30">
        <v>1</v>
      </c>
      <c r="G14" s="28">
        <v>0</v>
      </c>
      <c r="H14" s="30">
        <v>0</v>
      </c>
      <c r="I14" s="28">
        <v>0</v>
      </c>
      <c r="J14" s="30">
        <v>0</v>
      </c>
      <c r="K14" s="28">
        <v>0</v>
      </c>
      <c r="L14" s="78">
        <v>0</v>
      </c>
      <c r="M14" s="119">
        <v>295.399</v>
      </c>
      <c r="N14" s="101">
        <v>10</v>
      </c>
      <c r="O14" s="87">
        <v>23.429</v>
      </c>
      <c r="P14" s="30">
        <v>1</v>
      </c>
      <c r="Q14" s="28">
        <v>93.021</v>
      </c>
      <c r="R14" s="30">
        <v>11</v>
      </c>
      <c r="S14" s="69"/>
      <c r="T14" s="15"/>
      <c r="U14" s="60"/>
      <c r="V14" s="62"/>
      <c r="W14" s="4"/>
    </row>
    <row r="15" spans="1:23" s="9" customFormat="1" ht="15.75">
      <c r="A15" s="135">
        <v>7</v>
      </c>
      <c r="B15" s="132" t="s">
        <v>12</v>
      </c>
      <c r="C15" s="28">
        <v>343.461</v>
      </c>
      <c r="D15" s="29">
        <v>19</v>
      </c>
      <c r="E15" s="28">
        <v>34.31</v>
      </c>
      <c r="F15" s="30">
        <v>1</v>
      </c>
      <c r="G15" s="28">
        <v>0</v>
      </c>
      <c r="H15" s="30">
        <v>0</v>
      </c>
      <c r="I15" s="28">
        <v>0</v>
      </c>
      <c r="J15" s="30">
        <v>0</v>
      </c>
      <c r="K15" s="28">
        <v>0</v>
      </c>
      <c r="L15" s="78">
        <v>0</v>
      </c>
      <c r="M15" s="119">
        <v>255.371</v>
      </c>
      <c r="N15" s="101">
        <v>9</v>
      </c>
      <c r="O15" s="87">
        <v>0</v>
      </c>
      <c r="P15" s="30"/>
      <c r="Q15" s="28">
        <v>53.78</v>
      </c>
      <c r="R15" s="30">
        <v>9</v>
      </c>
      <c r="S15" s="69"/>
      <c r="T15" s="15"/>
      <c r="U15" s="60"/>
      <c r="V15" s="60"/>
      <c r="W15" s="4"/>
    </row>
    <row r="16" spans="1:23" s="4" customFormat="1" ht="15.75">
      <c r="A16" s="135">
        <v>8</v>
      </c>
      <c r="B16" s="132" t="s">
        <v>13</v>
      </c>
      <c r="C16" s="26">
        <v>249.438</v>
      </c>
      <c r="D16" s="31">
        <f>20-1</f>
        <v>19</v>
      </c>
      <c r="E16" s="26">
        <v>50.965</v>
      </c>
      <c r="F16" s="27">
        <v>2</v>
      </c>
      <c r="G16" s="26">
        <v>0</v>
      </c>
      <c r="H16" s="27">
        <v>0</v>
      </c>
      <c r="I16" s="26">
        <v>0</v>
      </c>
      <c r="J16" s="27">
        <v>0</v>
      </c>
      <c r="K16" s="26">
        <v>0</v>
      </c>
      <c r="L16" s="75">
        <v>0</v>
      </c>
      <c r="M16" s="118">
        <v>149.009</v>
      </c>
      <c r="N16" s="94">
        <v>10</v>
      </c>
      <c r="O16" s="83">
        <v>20.02</v>
      </c>
      <c r="P16" s="27">
        <v>1</v>
      </c>
      <c r="Q16" s="26">
        <v>29.444</v>
      </c>
      <c r="R16" s="27">
        <f>7-1</f>
        <v>6</v>
      </c>
      <c r="S16" s="65"/>
      <c r="T16" s="15"/>
      <c r="U16" s="60"/>
      <c r="V16" s="62"/>
      <c r="W16" s="143"/>
    </row>
    <row r="17" spans="1:23" s="4" customFormat="1" ht="18.75" customHeight="1" thickBot="1">
      <c r="A17" s="136">
        <v>9</v>
      </c>
      <c r="B17" s="134" t="s">
        <v>14</v>
      </c>
      <c r="C17" s="39">
        <v>264.363</v>
      </c>
      <c r="D17" s="48">
        <v>20</v>
      </c>
      <c r="E17" s="39">
        <v>35.252</v>
      </c>
      <c r="F17" s="40">
        <v>2</v>
      </c>
      <c r="G17" s="39">
        <v>0</v>
      </c>
      <c r="H17" s="40">
        <v>0</v>
      </c>
      <c r="I17" s="39">
        <v>0</v>
      </c>
      <c r="J17" s="40">
        <v>0</v>
      </c>
      <c r="K17" s="39">
        <v>0</v>
      </c>
      <c r="L17" s="76">
        <v>0</v>
      </c>
      <c r="M17" s="116">
        <v>179.466</v>
      </c>
      <c r="N17" s="96">
        <v>11</v>
      </c>
      <c r="O17" s="84">
        <v>13.146</v>
      </c>
      <c r="P17" s="40">
        <v>1</v>
      </c>
      <c r="Q17" s="39">
        <v>36.499</v>
      </c>
      <c r="R17" s="40">
        <v>6</v>
      </c>
      <c r="S17" s="66"/>
      <c r="T17" s="15"/>
      <c r="U17" s="60"/>
      <c r="V17" s="62"/>
      <c r="W17" s="143"/>
    </row>
    <row r="18" spans="1:22" s="4" customFormat="1" ht="16.5" thickBot="1">
      <c r="A18" s="139" t="s">
        <v>15</v>
      </c>
      <c r="B18" s="140"/>
      <c r="C18" s="46">
        <f aca="true" t="shared" si="1" ref="C18:L18">SUM(C9:C17)</f>
        <v>3607.7590000000005</v>
      </c>
      <c r="D18" s="46">
        <f t="shared" si="1"/>
        <v>188</v>
      </c>
      <c r="E18" s="46">
        <f t="shared" si="1"/>
        <v>356.10100000000006</v>
      </c>
      <c r="F18" s="46">
        <f t="shared" si="1"/>
        <v>12</v>
      </c>
      <c r="G18" s="46">
        <f t="shared" si="1"/>
        <v>0</v>
      </c>
      <c r="H18" s="47">
        <f t="shared" si="1"/>
        <v>0</v>
      </c>
      <c r="I18" s="46">
        <f t="shared" si="1"/>
        <v>0</v>
      </c>
      <c r="J18" s="47">
        <f t="shared" si="1"/>
        <v>0</v>
      </c>
      <c r="K18" s="46">
        <f t="shared" si="1"/>
        <v>0</v>
      </c>
      <c r="L18" s="56">
        <f t="shared" si="1"/>
        <v>0</v>
      </c>
      <c r="M18" s="97">
        <f aca="true" t="shared" si="2" ref="M18:S18">SUM(M9:M17)</f>
        <v>2479.053</v>
      </c>
      <c r="N18" s="67">
        <f t="shared" si="2"/>
        <v>95</v>
      </c>
      <c r="O18" s="85">
        <f t="shared" si="2"/>
        <v>119.61699999999999</v>
      </c>
      <c r="P18" s="47">
        <f t="shared" si="2"/>
        <v>6</v>
      </c>
      <c r="Q18" s="47">
        <f t="shared" si="2"/>
        <v>652.9879999999999</v>
      </c>
      <c r="R18" s="47">
        <f t="shared" si="2"/>
        <v>75</v>
      </c>
      <c r="S18" s="67">
        <f t="shared" si="2"/>
        <v>1.377</v>
      </c>
      <c r="T18" s="15"/>
      <c r="U18" s="60"/>
      <c r="V18" s="62"/>
    </row>
    <row r="19" spans="1:22" s="4" customFormat="1" ht="15.75">
      <c r="A19" s="144"/>
      <c r="B19" s="145" t="s">
        <v>16</v>
      </c>
      <c r="C19" s="49"/>
      <c r="D19" s="42"/>
      <c r="E19" s="43"/>
      <c r="F19" s="42"/>
      <c r="G19" s="43"/>
      <c r="H19" s="44"/>
      <c r="I19" s="44"/>
      <c r="J19" s="45"/>
      <c r="K19" s="44"/>
      <c r="L19" s="77"/>
      <c r="M19" s="98"/>
      <c r="N19" s="99"/>
      <c r="O19" s="86"/>
      <c r="P19" s="45"/>
      <c r="Q19" s="44"/>
      <c r="R19" s="45"/>
      <c r="S19" s="68"/>
      <c r="T19" s="15"/>
      <c r="U19" s="60"/>
      <c r="V19" s="60"/>
    </row>
    <row r="20" spans="1:23" s="9" customFormat="1" ht="15.75">
      <c r="A20" s="131">
        <v>1</v>
      </c>
      <c r="B20" s="132" t="s">
        <v>17</v>
      </c>
      <c r="C20" s="28">
        <f>1450.932-1.447</f>
        <v>1449.4850000000001</v>
      </c>
      <c r="D20" s="29">
        <f>61-3</f>
        <v>58</v>
      </c>
      <c r="E20" s="28">
        <v>194.269</v>
      </c>
      <c r="F20" s="30">
        <v>5</v>
      </c>
      <c r="G20" s="28">
        <v>0</v>
      </c>
      <c r="H20" s="30">
        <v>0</v>
      </c>
      <c r="I20" s="28">
        <v>0</v>
      </c>
      <c r="J20" s="30">
        <v>0</v>
      </c>
      <c r="K20" s="28">
        <v>0</v>
      </c>
      <c r="L20" s="78">
        <v>0</v>
      </c>
      <c r="M20" s="100">
        <v>1060.949</v>
      </c>
      <c r="N20" s="101">
        <v>36</v>
      </c>
      <c r="O20" s="87">
        <v>31.554</v>
      </c>
      <c r="P20" s="30">
        <v>3</v>
      </c>
      <c r="Q20" s="28">
        <f>164.16-1.447</f>
        <v>162.713</v>
      </c>
      <c r="R20" s="30">
        <f>17-2-1</f>
        <v>14</v>
      </c>
      <c r="S20" s="69"/>
      <c r="T20" s="15"/>
      <c r="U20" s="60"/>
      <c r="V20" s="60"/>
      <c r="W20" s="4"/>
    </row>
    <row r="21" spans="1:22" s="4" customFormat="1" ht="15.75">
      <c r="A21" s="131">
        <v>2</v>
      </c>
      <c r="B21" s="132" t="s">
        <v>18</v>
      </c>
      <c r="C21" s="26">
        <v>464.334</v>
      </c>
      <c r="D21" s="31">
        <f>28-2</f>
        <v>26</v>
      </c>
      <c r="E21" s="26">
        <v>77.15</v>
      </c>
      <c r="F21" s="27">
        <v>4</v>
      </c>
      <c r="G21" s="26">
        <v>0</v>
      </c>
      <c r="H21" s="27">
        <v>0</v>
      </c>
      <c r="I21" s="26">
        <v>0</v>
      </c>
      <c r="J21" s="27">
        <v>0</v>
      </c>
      <c r="K21" s="26">
        <v>0</v>
      </c>
      <c r="L21" s="75">
        <v>0</v>
      </c>
      <c r="M21" s="93">
        <v>329.385</v>
      </c>
      <c r="N21" s="94">
        <v>12</v>
      </c>
      <c r="O21" s="83">
        <v>18.85</v>
      </c>
      <c r="P21" s="27">
        <v>2</v>
      </c>
      <c r="Q21" s="26">
        <v>38.949</v>
      </c>
      <c r="R21" s="27">
        <f>10-2</f>
        <v>8</v>
      </c>
      <c r="S21" s="65"/>
      <c r="T21" s="15"/>
      <c r="U21" s="60"/>
      <c r="V21" s="60"/>
    </row>
    <row r="22" spans="1:23" s="8" customFormat="1" ht="15.75">
      <c r="A22" s="137">
        <v>3</v>
      </c>
      <c r="B22" s="138" t="s">
        <v>19</v>
      </c>
      <c r="C22" s="32">
        <f>1243.027+35.32-146.117</f>
        <v>1132.23</v>
      </c>
      <c r="D22" s="33">
        <f>55+2-1-15</f>
        <v>41</v>
      </c>
      <c r="E22" s="32">
        <f>218.632-23.15</f>
        <v>195.482</v>
      </c>
      <c r="F22" s="34">
        <f>5-1</f>
        <v>4</v>
      </c>
      <c r="G22" s="32">
        <v>0</v>
      </c>
      <c r="H22" s="34">
        <v>0</v>
      </c>
      <c r="I22" s="32">
        <v>0</v>
      </c>
      <c r="J22" s="34">
        <v>0</v>
      </c>
      <c r="K22" s="32">
        <v>0</v>
      </c>
      <c r="L22" s="79">
        <v>0</v>
      </c>
      <c r="M22" s="102">
        <v>694.847</v>
      </c>
      <c r="N22" s="103">
        <v>17</v>
      </c>
      <c r="O22" s="88">
        <f>78.09-36.747-2.5</f>
        <v>38.843</v>
      </c>
      <c r="P22" s="34">
        <f>7-2-1</f>
        <v>4</v>
      </c>
      <c r="Q22" s="32">
        <f>251.458+35.32-3.1-15.276-15.494-9-40.85</f>
        <v>203.058</v>
      </c>
      <c r="R22" s="34">
        <f>26+2-1-1-1-4-1-4</f>
        <v>16</v>
      </c>
      <c r="S22" s="70">
        <v>6</v>
      </c>
      <c r="T22" s="15"/>
      <c r="U22" s="60"/>
      <c r="V22" s="60"/>
      <c r="W22" s="4"/>
    </row>
    <row r="23" spans="1:23" s="9" customFormat="1" ht="15.75">
      <c r="A23" s="131">
        <v>4</v>
      </c>
      <c r="B23" s="132" t="s">
        <v>20</v>
      </c>
      <c r="C23" s="28">
        <v>518.189</v>
      </c>
      <c r="D23" s="29">
        <f>25-1</f>
        <v>24</v>
      </c>
      <c r="E23" s="28">
        <v>63.431</v>
      </c>
      <c r="F23" s="30">
        <f>2-1</f>
        <v>1</v>
      </c>
      <c r="G23" s="28">
        <v>0</v>
      </c>
      <c r="H23" s="30">
        <v>0</v>
      </c>
      <c r="I23" s="28">
        <v>0</v>
      </c>
      <c r="J23" s="30">
        <v>0</v>
      </c>
      <c r="K23" s="28">
        <v>0</v>
      </c>
      <c r="L23" s="78">
        <v>0</v>
      </c>
      <c r="M23" s="100">
        <v>316.232</v>
      </c>
      <c r="N23" s="101">
        <v>12</v>
      </c>
      <c r="O23" s="87">
        <v>38.335</v>
      </c>
      <c r="P23" s="30">
        <v>1</v>
      </c>
      <c r="Q23" s="28">
        <v>100.191</v>
      </c>
      <c r="R23" s="30">
        <v>10</v>
      </c>
      <c r="S23" s="69"/>
      <c r="T23" s="15"/>
      <c r="U23" s="60"/>
      <c r="V23" s="60"/>
      <c r="W23" s="4"/>
    </row>
    <row r="24" spans="1:23" s="8" customFormat="1" ht="15.75">
      <c r="A24" s="137">
        <v>5</v>
      </c>
      <c r="B24" s="138" t="s">
        <v>21</v>
      </c>
      <c r="C24" s="32">
        <f>986.225+79.229-7.306-30.697</f>
        <v>1027.451</v>
      </c>
      <c r="D24" s="33">
        <f>38+5-1-4</f>
        <v>38</v>
      </c>
      <c r="E24" s="32">
        <v>173.515</v>
      </c>
      <c r="F24" s="34">
        <v>4</v>
      </c>
      <c r="G24" s="32">
        <v>0</v>
      </c>
      <c r="H24" s="34">
        <v>0</v>
      </c>
      <c r="I24" s="32">
        <v>0</v>
      </c>
      <c r="J24" s="34">
        <v>0</v>
      </c>
      <c r="K24" s="32">
        <v>0</v>
      </c>
      <c r="L24" s="79">
        <v>0</v>
      </c>
      <c r="M24" s="102">
        <v>497.477</v>
      </c>
      <c r="N24" s="103">
        <v>14</v>
      </c>
      <c r="O24" s="88">
        <f>164.71+34.519-0.333</f>
        <v>198.89600000000002</v>
      </c>
      <c r="P24" s="34">
        <f>6+1-1</f>
        <v>6</v>
      </c>
      <c r="Q24" s="32">
        <f>150.523+44.71-7.306-30.363</f>
        <v>157.564</v>
      </c>
      <c r="R24" s="34">
        <f>14+4-1-3</f>
        <v>14</v>
      </c>
      <c r="S24" s="70">
        <v>11.858</v>
      </c>
      <c r="T24" s="15"/>
      <c r="U24" s="60"/>
      <c r="V24" s="60"/>
      <c r="W24" s="4"/>
    </row>
    <row r="25" spans="1:22" s="4" customFormat="1" ht="15.75">
      <c r="A25" s="131">
        <v>6</v>
      </c>
      <c r="B25" s="132" t="s">
        <v>22</v>
      </c>
      <c r="C25" s="26">
        <v>1011.038</v>
      </c>
      <c r="D25" s="31">
        <v>40</v>
      </c>
      <c r="E25" s="26">
        <v>115.7</v>
      </c>
      <c r="F25" s="27">
        <v>5</v>
      </c>
      <c r="G25" s="26">
        <v>0</v>
      </c>
      <c r="H25" s="27">
        <v>0</v>
      </c>
      <c r="I25" s="26">
        <v>0</v>
      </c>
      <c r="J25" s="27">
        <v>0</v>
      </c>
      <c r="K25" s="26">
        <v>0</v>
      </c>
      <c r="L25" s="75">
        <v>0</v>
      </c>
      <c r="M25" s="118">
        <v>753.375</v>
      </c>
      <c r="N25" s="94">
        <v>23</v>
      </c>
      <c r="O25" s="83">
        <v>57.147</v>
      </c>
      <c r="P25" s="27">
        <v>2</v>
      </c>
      <c r="Q25" s="26">
        <v>84.816</v>
      </c>
      <c r="R25" s="27">
        <v>10</v>
      </c>
      <c r="S25" s="65">
        <v>0.621</v>
      </c>
      <c r="T25" s="15"/>
      <c r="U25" s="60"/>
      <c r="V25" s="60"/>
    </row>
    <row r="26" spans="1:22" s="4" customFormat="1" ht="15.75">
      <c r="A26" s="131">
        <v>7</v>
      </c>
      <c r="B26" s="132" t="s">
        <v>23</v>
      </c>
      <c r="C26" s="26">
        <v>829.917</v>
      </c>
      <c r="D26" s="31">
        <v>38</v>
      </c>
      <c r="E26" s="26">
        <v>137.069</v>
      </c>
      <c r="F26" s="27">
        <v>4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75">
        <v>0</v>
      </c>
      <c r="M26" s="118">
        <v>552.807</v>
      </c>
      <c r="N26" s="94">
        <v>21</v>
      </c>
      <c r="O26" s="83">
        <v>63.751</v>
      </c>
      <c r="P26" s="27">
        <v>3</v>
      </c>
      <c r="Q26" s="26">
        <v>76.29</v>
      </c>
      <c r="R26" s="27">
        <v>10</v>
      </c>
      <c r="S26" s="65">
        <v>0.577</v>
      </c>
      <c r="T26" s="15"/>
      <c r="U26" s="60"/>
      <c r="V26" s="60"/>
    </row>
    <row r="27" spans="1:22" s="4" customFormat="1" ht="15.75">
      <c r="A27" s="131">
        <v>8</v>
      </c>
      <c r="B27" s="132" t="s">
        <v>24</v>
      </c>
      <c r="C27" s="26">
        <v>757.783</v>
      </c>
      <c r="D27" s="31">
        <v>30</v>
      </c>
      <c r="E27" s="26">
        <v>91.483</v>
      </c>
      <c r="F27" s="27">
        <v>3</v>
      </c>
      <c r="G27" s="26">
        <v>0</v>
      </c>
      <c r="H27" s="27">
        <v>0</v>
      </c>
      <c r="I27" s="26">
        <v>0</v>
      </c>
      <c r="J27" s="27">
        <v>0</v>
      </c>
      <c r="K27" s="26">
        <v>0</v>
      </c>
      <c r="L27" s="75">
        <v>0</v>
      </c>
      <c r="M27" s="118">
        <v>515.652</v>
      </c>
      <c r="N27" s="94">
        <v>14</v>
      </c>
      <c r="O27" s="83">
        <v>47.703</v>
      </c>
      <c r="P27" s="27">
        <v>2</v>
      </c>
      <c r="Q27" s="26">
        <v>102.945</v>
      </c>
      <c r="R27" s="27">
        <v>11</v>
      </c>
      <c r="S27" s="65"/>
      <c r="T27" s="15"/>
      <c r="U27" s="60"/>
      <c r="V27" s="60"/>
    </row>
    <row r="28" spans="1:23" s="4" customFormat="1" ht="15.75">
      <c r="A28" s="131">
        <v>9</v>
      </c>
      <c r="B28" s="132" t="s">
        <v>25</v>
      </c>
      <c r="C28" s="26">
        <v>355.526</v>
      </c>
      <c r="D28" s="31">
        <f>28-2</f>
        <v>26</v>
      </c>
      <c r="E28" s="26">
        <v>83.1</v>
      </c>
      <c r="F28" s="27">
        <v>3</v>
      </c>
      <c r="G28" s="26">
        <v>0</v>
      </c>
      <c r="H28" s="27">
        <v>0</v>
      </c>
      <c r="I28" s="26">
        <v>0</v>
      </c>
      <c r="J28" s="27">
        <v>0</v>
      </c>
      <c r="K28" s="26">
        <v>0</v>
      </c>
      <c r="L28" s="75">
        <v>0</v>
      </c>
      <c r="M28" s="118">
        <v>202.795</v>
      </c>
      <c r="N28" s="94">
        <v>13</v>
      </c>
      <c r="O28" s="83">
        <v>15.75</v>
      </c>
      <c r="P28" s="27">
        <v>2</v>
      </c>
      <c r="Q28" s="26">
        <v>53.881</v>
      </c>
      <c r="R28" s="27">
        <f>10-2</f>
        <v>8</v>
      </c>
      <c r="S28" s="65"/>
      <c r="T28" s="15"/>
      <c r="U28" s="60"/>
      <c r="V28" s="62"/>
      <c r="W28" s="143"/>
    </row>
    <row r="29" spans="1:23" s="9" customFormat="1" ht="15.75">
      <c r="A29" s="131">
        <v>10</v>
      </c>
      <c r="B29" s="132" t="s">
        <v>26</v>
      </c>
      <c r="C29" s="28">
        <v>685.961</v>
      </c>
      <c r="D29" s="29">
        <v>33</v>
      </c>
      <c r="E29" s="28">
        <v>66.5</v>
      </c>
      <c r="F29" s="30">
        <v>2</v>
      </c>
      <c r="G29" s="28">
        <v>0</v>
      </c>
      <c r="H29" s="30">
        <v>0</v>
      </c>
      <c r="I29" s="28">
        <v>0</v>
      </c>
      <c r="J29" s="30">
        <v>0</v>
      </c>
      <c r="K29" s="28">
        <v>0</v>
      </c>
      <c r="L29" s="78">
        <v>0</v>
      </c>
      <c r="M29" s="119">
        <v>500.996</v>
      </c>
      <c r="N29" s="101">
        <v>16</v>
      </c>
      <c r="O29" s="87">
        <v>18.015</v>
      </c>
      <c r="P29" s="30">
        <v>2</v>
      </c>
      <c r="Q29" s="28">
        <v>100.45</v>
      </c>
      <c r="R29" s="30">
        <v>13</v>
      </c>
      <c r="S29" s="69"/>
      <c r="T29" s="15"/>
      <c r="U29" s="60"/>
      <c r="V29" s="62"/>
      <c r="W29" s="4"/>
    </row>
    <row r="30" spans="1:23" s="8" customFormat="1" ht="15.75">
      <c r="A30" s="137">
        <v>11</v>
      </c>
      <c r="B30" s="138" t="s">
        <v>27</v>
      </c>
      <c r="C30" s="32">
        <f>3009.997+58.856-24.276-519.665</f>
        <v>2524.9120000000003</v>
      </c>
      <c r="D30" s="33">
        <f>119+4-3-33</f>
        <v>87</v>
      </c>
      <c r="E30" s="32">
        <f>454.391-50.976</f>
        <v>403.415</v>
      </c>
      <c r="F30" s="34">
        <f>8-1</f>
        <v>7</v>
      </c>
      <c r="G30" s="32">
        <v>0</v>
      </c>
      <c r="H30" s="34">
        <v>0</v>
      </c>
      <c r="I30" s="32">
        <v>0</v>
      </c>
      <c r="J30" s="34">
        <v>0</v>
      </c>
      <c r="K30" s="32">
        <v>0</v>
      </c>
      <c r="L30" s="79">
        <v>0</v>
      </c>
      <c r="M30" s="120">
        <v>1536.692</v>
      </c>
      <c r="N30" s="103">
        <v>40</v>
      </c>
      <c r="O30" s="88">
        <f>549.743+15.115-258.821-12.169-21.458</f>
        <v>272.4100000000001</v>
      </c>
      <c r="P30" s="34">
        <f>23+1-12-1-1</f>
        <v>10</v>
      </c>
      <c r="Q30" s="32">
        <f>469.171+43.741-24.276-81.781-22.495-37.591-13.387-6.175-14.813</f>
        <v>312.394</v>
      </c>
      <c r="R30" s="34">
        <f>48+3-3-11-1-3-1-1-1</f>
        <v>30</v>
      </c>
      <c r="S30" s="70"/>
      <c r="T30" s="15"/>
      <c r="U30" s="60"/>
      <c r="V30" s="62"/>
      <c r="W30" s="4"/>
    </row>
    <row r="31" spans="1:22" s="4" customFormat="1" ht="15.75">
      <c r="A31" s="131">
        <v>12</v>
      </c>
      <c r="B31" s="132" t="s">
        <v>28</v>
      </c>
      <c r="C31" s="26">
        <f>1664.805+20.053-6.545</f>
        <v>1678.313</v>
      </c>
      <c r="D31" s="31">
        <f>58+1-1</f>
        <v>58</v>
      </c>
      <c r="E31" s="26">
        <v>263.697</v>
      </c>
      <c r="F31" s="27">
        <v>6</v>
      </c>
      <c r="G31" s="26">
        <v>0</v>
      </c>
      <c r="H31" s="27">
        <v>0</v>
      </c>
      <c r="I31" s="26">
        <v>0</v>
      </c>
      <c r="J31" s="27">
        <v>0</v>
      </c>
      <c r="K31" s="26">
        <v>0</v>
      </c>
      <c r="L31" s="75">
        <v>0</v>
      </c>
      <c r="M31" s="118">
        <v>1120.868</v>
      </c>
      <c r="N31" s="94">
        <v>33</v>
      </c>
      <c r="O31" s="83">
        <f>103.562+20.053</f>
        <v>123.615</v>
      </c>
      <c r="P31" s="27">
        <v>5</v>
      </c>
      <c r="Q31" s="26">
        <f>176.678-6.545</f>
        <v>170.133</v>
      </c>
      <c r="R31" s="27">
        <f>14-1</f>
        <v>13</v>
      </c>
      <c r="S31" s="65"/>
      <c r="T31" s="15"/>
      <c r="U31" s="60"/>
      <c r="V31" s="60"/>
    </row>
    <row r="32" spans="1:22" s="4" customFormat="1" ht="15.75">
      <c r="A32" s="131">
        <v>13</v>
      </c>
      <c r="B32" s="132" t="s">
        <v>29</v>
      </c>
      <c r="C32" s="26">
        <f>1903.208+15.341-28.54-6.78</f>
        <v>1883.229</v>
      </c>
      <c r="D32" s="31">
        <f>78+1-3</f>
        <v>76</v>
      </c>
      <c r="E32" s="26">
        <v>311.103</v>
      </c>
      <c r="F32" s="27">
        <v>7</v>
      </c>
      <c r="G32" s="26">
        <v>0</v>
      </c>
      <c r="H32" s="27">
        <v>0</v>
      </c>
      <c r="I32" s="26">
        <v>0</v>
      </c>
      <c r="J32" s="27">
        <v>0</v>
      </c>
      <c r="K32" s="26">
        <v>0</v>
      </c>
      <c r="L32" s="75">
        <v>0</v>
      </c>
      <c r="M32" s="118">
        <v>1288.007</v>
      </c>
      <c r="N32" s="94">
        <v>40</v>
      </c>
      <c r="O32" s="83">
        <f>83.163+15.341-28.54</f>
        <v>69.964</v>
      </c>
      <c r="P32" s="27">
        <f>5+1-2</f>
        <v>4</v>
      </c>
      <c r="Q32" s="26">
        <v>220.935</v>
      </c>
      <c r="R32" s="27">
        <f>26-1</f>
        <v>25</v>
      </c>
      <c r="S32" s="65"/>
      <c r="T32" s="109"/>
      <c r="U32" s="60"/>
      <c r="V32" s="60"/>
    </row>
    <row r="33" spans="1:22" s="4" customFormat="1" ht="16.5" thickBot="1">
      <c r="A33" s="133">
        <v>14</v>
      </c>
      <c r="B33" s="134" t="s">
        <v>30</v>
      </c>
      <c r="C33" s="39">
        <f>708.429+0.389-7.576</f>
        <v>701.242</v>
      </c>
      <c r="D33" s="48">
        <f>29+1-1</f>
        <v>29</v>
      </c>
      <c r="E33" s="39">
        <v>96.118</v>
      </c>
      <c r="F33" s="40">
        <v>2</v>
      </c>
      <c r="G33" s="39">
        <v>0</v>
      </c>
      <c r="H33" s="40">
        <v>0</v>
      </c>
      <c r="I33" s="39">
        <v>0</v>
      </c>
      <c r="J33" s="40">
        <v>0</v>
      </c>
      <c r="K33" s="39">
        <v>0</v>
      </c>
      <c r="L33" s="76">
        <v>0</v>
      </c>
      <c r="M33" s="116">
        <v>474.011</v>
      </c>
      <c r="N33" s="96">
        <v>15</v>
      </c>
      <c r="O33" s="84">
        <v>43.556</v>
      </c>
      <c r="P33" s="40">
        <v>2</v>
      </c>
      <c r="Q33" s="39">
        <f>94.744+0.389-7.576</f>
        <v>87.557</v>
      </c>
      <c r="R33" s="40">
        <f>10-1</f>
        <v>9</v>
      </c>
      <c r="S33" s="66"/>
      <c r="T33" s="15"/>
      <c r="U33" s="60"/>
      <c r="V33" s="60"/>
    </row>
    <row r="34" spans="1:22" s="4" customFormat="1" ht="16.5" thickBot="1">
      <c r="A34" s="139" t="s">
        <v>31</v>
      </c>
      <c r="B34" s="140"/>
      <c r="C34" s="46">
        <f aca="true" t="shared" si="3" ref="C34:S34">SUM(C20:C33)</f>
        <v>15019.61</v>
      </c>
      <c r="D34" s="46">
        <f t="shared" si="3"/>
        <v>604</v>
      </c>
      <c r="E34" s="46">
        <f t="shared" si="3"/>
        <v>2272.0319999999997</v>
      </c>
      <c r="F34" s="46">
        <f t="shared" si="3"/>
        <v>57</v>
      </c>
      <c r="G34" s="46">
        <f t="shared" si="3"/>
        <v>0</v>
      </c>
      <c r="H34" s="47">
        <f t="shared" si="3"/>
        <v>0</v>
      </c>
      <c r="I34" s="46">
        <f t="shared" si="3"/>
        <v>0</v>
      </c>
      <c r="J34" s="47">
        <f t="shared" si="3"/>
        <v>0</v>
      </c>
      <c r="K34" s="46">
        <f t="shared" si="3"/>
        <v>0</v>
      </c>
      <c r="L34" s="56">
        <f t="shared" si="3"/>
        <v>0</v>
      </c>
      <c r="M34" s="97">
        <f t="shared" si="3"/>
        <v>9844.093</v>
      </c>
      <c r="N34" s="67">
        <f t="shared" si="3"/>
        <v>306</v>
      </c>
      <c r="O34" s="85">
        <f t="shared" si="3"/>
        <v>1038.3890000000001</v>
      </c>
      <c r="P34" s="47">
        <f t="shared" si="3"/>
        <v>48</v>
      </c>
      <c r="Q34" s="47">
        <f t="shared" si="3"/>
        <v>1871.8759999999997</v>
      </c>
      <c r="R34" s="47">
        <f t="shared" si="3"/>
        <v>191</v>
      </c>
      <c r="S34" s="47">
        <f t="shared" si="3"/>
        <v>19.055999999999997</v>
      </c>
      <c r="T34" s="15"/>
      <c r="U34" s="60"/>
      <c r="V34" s="60"/>
    </row>
    <row r="35" spans="1:22" s="4" customFormat="1" ht="16.5" thickBot="1">
      <c r="A35" s="139" t="s">
        <v>32</v>
      </c>
      <c r="B35" s="140"/>
      <c r="C35" s="46">
        <f>C34+C18+C7</f>
        <v>18706.924000000003</v>
      </c>
      <c r="D35" s="46">
        <f>D34+D18+D7</f>
        <v>795</v>
      </c>
      <c r="E35" s="46">
        <f>E34+E18+E7</f>
        <v>2628.133</v>
      </c>
      <c r="F35" s="46">
        <f>F34+F18+F7</f>
        <v>69</v>
      </c>
      <c r="G35" s="46">
        <f aca="true" t="shared" si="4" ref="G35:Q35">G7+G18+G34</f>
        <v>0</v>
      </c>
      <c r="H35" s="47">
        <f t="shared" si="4"/>
        <v>0</v>
      </c>
      <c r="I35" s="46">
        <f t="shared" si="4"/>
        <v>0</v>
      </c>
      <c r="J35" s="47">
        <f t="shared" si="4"/>
        <v>1</v>
      </c>
      <c r="K35" s="46">
        <f t="shared" si="4"/>
        <v>0</v>
      </c>
      <c r="L35" s="56">
        <f t="shared" si="4"/>
        <v>0</v>
      </c>
      <c r="M35" s="97">
        <f t="shared" si="4"/>
        <v>12392.056</v>
      </c>
      <c r="N35" s="67">
        <f t="shared" si="4"/>
        <v>403</v>
      </c>
      <c r="O35" s="85">
        <f t="shared" si="4"/>
        <v>1158.006</v>
      </c>
      <c r="P35" s="47">
        <f t="shared" si="4"/>
        <v>54</v>
      </c>
      <c r="Q35" s="47">
        <f t="shared" si="4"/>
        <v>2535.5089999999996</v>
      </c>
      <c r="R35" s="47">
        <f>R7+R18+R34</f>
        <v>267</v>
      </c>
      <c r="S35" s="47">
        <f>S7+S18+S34</f>
        <v>20.432999999999996</v>
      </c>
      <c r="T35" s="15"/>
      <c r="U35" s="60"/>
      <c r="V35" s="60"/>
    </row>
    <row r="36" spans="1:22" s="4" customFormat="1" ht="15.75">
      <c r="A36" s="144"/>
      <c r="B36" s="145" t="s">
        <v>33</v>
      </c>
      <c r="C36" s="49"/>
      <c r="D36" s="42"/>
      <c r="E36" s="43"/>
      <c r="F36" s="42"/>
      <c r="G36" s="43"/>
      <c r="H36" s="44"/>
      <c r="I36" s="44"/>
      <c r="J36" s="45"/>
      <c r="K36" s="44"/>
      <c r="L36" s="77"/>
      <c r="M36" s="98"/>
      <c r="N36" s="99"/>
      <c r="O36" s="86"/>
      <c r="P36" s="45"/>
      <c r="Q36" s="44"/>
      <c r="R36" s="45"/>
      <c r="S36" s="68"/>
      <c r="T36" s="15"/>
      <c r="U36" s="60"/>
      <c r="V36" s="60"/>
    </row>
    <row r="37" spans="1:23" s="9" customFormat="1" ht="15.75">
      <c r="A37" s="131">
        <v>1</v>
      </c>
      <c r="B37" s="132" t="s">
        <v>34</v>
      </c>
      <c r="C37" s="28">
        <f>880.143-30.271</f>
        <v>849.8720000000001</v>
      </c>
      <c r="D37" s="29">
        <f>41-4</f>
        <v>37</v>
      </c>
      <c r="E37" s="28">
        <v>177.275</v>
      </c>
      <c r="F37" s="30">
        <v>4</v>
      </c>
      <c r="G37" s="28">
        <v>0</v>
      </c>
      <c r="H37" s="30">
        <v>0</v>
      </c>
      <c r="I37" s="28">
        <v>0</v>
      </c>
      <c r="J37" s="30">
        <v>0</v>
      </c>
      <c r="K37" s="28">
        <v>0</v>
      </c>
      <c r="L37" s="78">
        <v>0</v>
      </c>
      <c r="M37" s="100">
        <v>480.667</v>
      </c>
      <c r="N37" s="101">
        <v>18</v>
      </c>
      <c r="O37" s="87">
        <v>20.038</v>
      </c>
      <c r="P37" s="30">
        <v>2</v>
      </c>
      <c r="Q37" s="28">
        <f>202.163-30.271</f>
        <v>171.892</v>
      </c>
      <c r="R37" s="30">
        <f>17-4</f>
        <v>13</v>
      </c>
      <c r="S37" s="69">
        <v>30</v>
      </c>
      <c r="T37" s="15"/>
      <c r="U37" s="60"/>
      <c r="V37" s="60"/>
      <c r="W37" s="4"/>
    </row>
    <row r="38" spans="1:22" s="4" customFormat="1" ht="15.75">
      <c r="A38" s="131">
        <v>2</v>
      </c>
      <c r="B38" s="132" t="s">
        <v>35</v>
      </c>
      <c r="C38" s="26">
        <v>772.997</v>
      </c>
      <c r="D38" s="31">
        <v>39</v>
      </c>
      <c r="E38" s="26">
        <v>76.575</v>
      </c>
      <c r="F38" s="27">
        <v>3</v>
      </c>
      <c r="G38" s="26">
        <v>0</v>
      </c>
      <c r="H38" s="27">
        <v>0</v>
      </c>
      <c r="I38" s="26">
        <v>0</v>
      </c>
      <c r="J38" s="27">
        <v>0</v>
      </c>
      <c r="K38" s="26">
        <v>0</v>
      </c>
      <c r="L38" s="75">
        <v>0</v>
      </c>
      <c r="M38" s="93">
        <v>485.954</v>
      </c>
      <c r="N38" s="94">
        <v>20</v>
      </c>
      <c r="O38" s="83">
        <v>79.791</v>
      </c>
      <c r="P38" s="27">
        <v>4</v>
      </c>
      <c r="Q38" s="26">
        <v>130.677</v>
      </c>
      <c r="R38" s="27">
        <v>12</v>
      </c>
      <c r="S38" s="65"/>
      <c r="T38" s="109"/>
      <c r="U38" s="60"/>
      <c r="V38" s="60"/>
    </row>
    <row r="39" spans="1:23" s="9" customFormat="1" ht="15.75">
      <c r="A39" s="131">
        <v>3</v>
      </c>
      <c r="B39" s="132" t="s">
        <v>36</v>
      </c>
      <c r="C39" s="28">
        <f>761.528-6.631-0.343</f>
        <v>754.5540000000001</v>
      </c>
      <c r="D39" s="29">
        <f>41-2</f>
        <v>39</v>
      </c>
      <c r="E39" s="28">
        <v>71.503</v>
      </c>
      <c r="F39" s="30">
        <v>3</v>
      </c>
      <c r="G39" s="28">
        <v>0</v>
      </c>
      <c r="H39" s="30">
        <v>0</v>
      </c>
      <c r="I39" s="28">
        <v>0</v>
      </c>
      <c r="J39" s="30">
        <v>0</v>
      </c>
      <c r="K39" s="28">
        <v>0</v>
      </c>
      <c r="L39" s="78">
        <v>0</v>
      </c>
      <c r="M39" s="100">
        <v>473.907</v>
      </c>
      <c r="N39" s="101">
        <v>17</v>
      </c>
      <c r="O39" s="87">
        <v>40.247</v>
      </c>
      <c r="P39" s="30">
        <f>3-1</f>
        <v>2</v>
      </c>
      <c r="Q39" s="28">
        <f>175.871-6.631-0.343</f>
        <v>168.89700000000002</v>
      </c>
      <c r="R39" s="30">
        <f>19-2</f>
        <v>17</v>
      </c>
      <c r="S39" s="69"/>
      <c r="T39" s="15"/>
      <c r="U39" s="60"/>
      <c r="V39" s="60"/>
      <c r="W39" s="4"/>
    </row>
    <row r="40" spans="1:23" s="9" customFormat="1" ht="16.5" thickBot="1">
      <c r="A40" s="133">
        <v>4</v>
      </c>
      <c r="B40" s="134" t="s">
        <v>37</v>
      </c>
      <c r="C40" s="50">
        <f>317.875+104.393-8.37</f>
        <v>413.898</v>
      </c>
      <c r="D40" s="51">
        <f>17+5-2</f>
        <v>20</v>
      </c>
      <c r="E40" s="50">
        <v>49.723</v>
      </c>
      <c r="F40" s="52">
        <f>2-1</f>
        <v>1</v>
      </c>
      <c r="G40" s="50">
        <v>0</v>
      </c>
      <c r="H40" s="52">
        <v>0</v>
      </c>
      <c r="I40" s="50">
        <v>0</v>
      </c>
      <c r="J40" s="52">
        <v>0</v>
      </c>
      <c r="K40" s="50">
        <v>0</v>
      </c>
      <c r="L40" s="80">
        <v>0</v>
      </c>
      <c r="M40" s="104">
        <v>55.426</v>
      </c>
      <c r="N40" s="105">
        <v>2</v>
      </c>
      <c r="O40" s="89">
        <f>101.21+95.875-8.37</f>
        <v>188.71499999999997</v>
      </c>
      <c r="P40" s="52">
        <f>5+4-1</f>
        <v>8</v>
      </c>
      <c r="Q40" s="50">
        <f>111.516+8.518</f>
        <v>120.034</v>
      </c>
      <c r="R40" s="52">
        <f>8+1</f>
        <v>9</v>
      </c>
      <c r="S40" s="72"/>
      <c r="T40" s="15"/>
      <c r="U40" s="60"/>
      <c r="V40" s="60"/>
      <c r="W40" s="4"/>
    </row>
    <row r="41" spans="1:22" s="4" customFormat="1" ht="16.5" thickBot="1">
      <c r="A41" s="139" t="s">
        <v>38</v>
      </c>
      <c r="B41" s="140"/>
      <c r="C41" s="46">
        <f aca="true" t="shared" si="5" ref="C41:L41">SUM(C37:C40)</f>
        <v>2791.3210000000004</v>
      </c>
      <c r="D41" s="46">
        <f t="shared" si="5"/>
        <v>135</v>
      </c>
      <c r="E41" s="46">
        <f t="shared" si="5"/>
        <v>375.076</v>
      </c>
      <c r="F41" s="46">
        <f t="shared" si="5"/>
        <v>11</v>
      </c>
      <c r="G41" s="46">
        <f t="shared" si="5"/>
        <v>0</v>
      </c>
      <c r="H41" s="47">
        <f t="shared" si="5"/>
        <v>0</v>
      </c>
      <c r="I41" s="46">
        <f t="shared" si="5"/>
        <v>0</v>
      </c>
      <c r="J41" s="47">
        <f t="shared" si="5"/>
        <v>0</v>
      </c>
      <c r="K41" s="46">
        <f t="shared" si="5"/>
        <v>0</v>
      </c>
      <c r="L41" s="56">
        <f t="shared" si="5"/>
        <v>0</v>
      </c>
      <c r="M41" s="97">
        <f aca="true" t="shared" si="6" ref="M41:S41">SUM(M37:M40)</f>
        <v>1495.954</v>
      </c>
      <c r="N41" s="67">
        <f t="shared" si="6"/>
        <v>57</v>
      </c>
      <c r="O41" s="85">
        <f t="shared" si="6"/>
        <v>328.79099999999994</v>
      </c>
      <c r="P41" s="47">
        <f t="shared" si="6"/>
        <v>16</v>
      </c>
      <c r="Q41" s="47">
        <f t="shared" si="6"/>
        <v>591.5</v>
      </c>
      <c r="R41" s="47">
        <f t="shared" si="6"/>
        <v>51</v>
      </c>
      <c r="S41" s="67">
        <f t="shared" si="6"/>
        <v>30</v>
      </c>
      <c r="T41" s="15"/>
      <c r="U41" s="60"/>
      <c r="V41" s="60"/>
    </row>
    <row r="42" spans="1:22" s="4" customFormat="1" ht="15.75">
      <c r="A42" s="144"/>
      <c r="B42" s="145" t="s">
        <v>39</v>
      </c>
      <c r="C42" s="49"/>
      <c r="D42" s="42"/>
      <c r="E42" s="43"/>
      <c r="F42" s="42"/>
      <c r="G42" s="43"/>
      <c r="H42" s="44"/>
      <c r="I42" s="44"/>
      <c r="J42" s="45"/>
      <c r="K42" s="44"/>
      <c r="L42" s="77"/>
      <c r="M42" s="98"/>
      <c r="N42" s="99"/>
      <c r="O42" s="86"/>
      <c r="P42" s="45"/>
      <c r="Q42" s="44"/>
      <c r="R42" s="45"/>
      <c r="S42" s="68"/>
      <c r="T42" s="15"/>
      <c r="U42" s="60"/>
      <c r="V42" s="60"/>
    </row>
    <row r="43" spans="1:22" s="4" customFormat="1" ht="15.75">
      <c r="A43" s="131">
        <v>1</v>
      </c>
      <c r="B43" s="132" t="s">
        <v>40</v>
      </c>
      <c r="C43" s="26">
        <f>1721.333+1.433</f>
        <v>1722.766</v>
      </c>
      <c r="D43" s="31">
        <f>74+1</f>
        <v>75</v>
      </c>
      <c r="E43" s="26">
        <v>192.008</v>
      </c>
      <c r="F43" s="27">
        <v>6</v>
      </c>
      <c r="G43" s="26">
        <v>0</v>
      </c>
      <c r="H43" s="27">
        <v>0</v>
      </c>
      <c r="I43" s="26">
        <v>0</v>
      </c>
      <c r="J43" s="27">
        <v>0</v>
      </c>
      <c r="K43" s="26">
        <v>0</v>
      </c>
      <c r="L43" s="75">
        <v>0</v>
      </c>
      <c r="M43" s="93">
        <v>1121.439</v>
      </c>
      <c r="N43" s="94">
        <v>36</v>
      </c>
      <c r="O43" s="83">
        <f>163.034+1.433</f>
        <v>164.46699999999998</v>
      </c>
      <c r="P43" s="27">
        <f>7+1</f>
        <v>8</v>
      </c>
      <c r="Q43" s="26">
        <v>244.852</v>
      </c>
      <c r="R43" s="27">
        <v>25</v>
      </c>
      <c r="S43" s="65"/>
      <c r="T43" s="15"/>
      <c r="U43" s="60"/>
      <c r="V43" s="62"/>
    </row>
    <row r="44" spans="1:22" s="4" customFormat="1" ht="15.75">
      <c r="A44" s="131">
        <v>2</v>
      </c>
      <c r="B44" s="132" t="s">
        <v>41</v>
      </c>
      <c r="C44" s="26">
        <f>1100.946-6.175</f>
        <v>1094.771</v>
      </c>
      <c r="D44" s="31">
        <f>53-1</f>
        <v>52</v>
      </c>
      <c r="E44" s="26">
        <v>158.124</v>
      </c>
      <c r="F44" s="27">
        <v>5</v>
      </c>
      <c r="G44" s="26">
        <v>0</v>
      </c>
      <c r="H44" s="27">
        <v>0</v>
      </c>
      <c r="I44" s="26">
        <v>0</v>
      </c>
      <c r="J44" s="27">
        <v>0</v>
      </c>
      <c r="K44" s="26">
        <v>0</v>
      </c>
      <c r="L44" s="75">
        <v>0</v>
      </c>
      <c r="M44" s="93">
        <v>715.336</v>
      </c>
      <c r="N44" s="94">
        <v>26</v>
      </c>
      <c r="O44" s="83">
        <v>58.156</v>
      </c>
      <c r="P44" s="27">
        <v>3</v>
      </c>
      <c r="Q44" s="26">
        <f>169.33-6.175</f>
        <v>163.155</v>
      </c>
      <c r="R44" s="27">
        <f>19-1</f>
        <v>18</v>
      </c>
      <c r="S44" s="65"/>
      <c r="T44" s="15"/>
      <c r="U44" s="60"/>
      <c r="V44" s="62"/>
    </row>
    <row r="45" spans="1:23" s="8" customFormat="1" ht="15.75">
      <c r="A45" s="137">
        <v>3</v>
      </c>
      <c r="B45" s="138" t="s">
        <v>42</v>
      </c>
      <c r="C45" s="32">
        <f>1237.505+51.114-1.689</f>
        <v>1286.93</v>
      </c>
      <c r="D45" s="33">
        <f>61+4-10</f>
        <v>55</v>
      </c>
      <c r="E45" s="32">
        <v>220.954</v>
      </c>
      <c r="F45" s="34">
        <v>6</v>
      </c>
      <c r="G45" s="32">
        <v>0</v>
      </c>
      <c r="H45" s="34">
        <v>0</v>
      </c>
      <c r="I45" s="32">
        <v>0</v>
      </c>
      <c r="J45" s="34">
        <v>0</v>
      </c>
      <c r="K45" s="32">
        <v>0</v>
      </c>
      <c r="L45" s="79">
        <v>0</v>
      </c>
      <c r="M45" s="102">
        <v>650.507</v>
      </c>
      <c r="N45" s="103">
        <v>25</v>
      </c>
      <c r="O45" s="88">
        <f>124.558</f>
        <v>124.558</v>
      </c>
      <c r="P45" s="34">
        <f>8</f>
        <v>8</v>
      </c>
      <c r="Q45" s="32">
        <f>241.486+51.114</f>
        <v>292.59999999999997</v>
      </c>
      <c r="R45" s="34">
        <f>22+4</f>
        <v>26</v>
      </c>
      <c r="S45" s="70">
        <v>5</v>
      </c>
      <c r="T45" s="15"/>
      <c r="U45" s="60"/>
      <c r="V45" s="60"/>
      <c r="W45" s="4"/>
    </row>
    <row r="46" spans="1:23" s="9" customFormat="1" ht="15.75">
      <c r="A46" s="131">
        <v>4</v>
      </c>
      <c r="B46" s="132" t="s">
        <v>43</v>
      </c>
      <c r="C46" s="28">
        <f>1729.887+16.297</f>
        <v>1746.184</v>
      </c>
      <c r="D46" s="29">
        <f>83+1</f>
        <v>84</v>
      </c>
      <c r="E46" s="28">
        <v>203.985</v>
      </c>
      <c r="F46" s="30">
        <v>6</v>
      </c>
      <c r="G46" s="28">
        <v>0</v>
      </c>
      <c r="H46" s="30">
        <v>0</v>
      </c>
      <c r="I46" s="28">
        <v>0</v>
      </c>
      <c r="J46" s="30">
        <v>0</v>
      </c>
      <c r="K46" s="28">
        <v>0</v>
      </c>
      <c r="L46" s="78">
        <v>0</v>
      </c>
      <c r="M46" s="100">
        <v>1160.353</v>
      </c>
      <c r="N46" s="101">
        <v>43</v>
      </c>
      <c r="O46" s="87">
        <f>117.448+16.297</f>
        <v>133.745</v>
      </c>
      <c r="P46" s="30">
        <f>6+1</f>
        <v>7</v>
      </c>
      <c r="Q46" s="28">
        <v>248.101</v>
      </c>
      <c r="R46" s="30">
        <v>28</v>
      </c>
      <c r="S46" s="69"/>
      <c r="T46" s="15"/>
      <c r="U46" s="60"/>
      <c r="V46" s="60"/>
      <c r="W46" s="4"/>
    </row>
    <row r="47" spans="1:22" s="4" customFormat="1" ht="15.75">
      <c r="A47" s="131">
        <v>5</v>
      </c>
      <c r="B47" s="132" t="s">
        <v>44</v>
      </c>
      <c r="C47" s="26">
        <f>1411.931-7.136</f>
        <v>1404.795</v>
      </c>
      <c r="D47" s="31">
        <f>67-2</f>
        <v>65</v>
      </c>
      <c r="E47" s="26">
        <v>168.199</v>
      </c>
      <c r="F47" s="27">
        <v>5</v>
      </c>
      <c r="G47" s="26">
        <v>0</v>
      </c>
      <c r="H47" s="27">
        <v>0</v>
      </c>
      <c r="I47" s="26">
        <v>0</v>
      </c>
      <c r="J47" s="27">
        <v>0</v>
      </c>
      <c r="K47" s="26">
        <v>0</v>
      </c>
      <c r="L47" s="75">
        <v>0</v>
      </c>
      <c r="M47" s="93">
        <v>934.293</v>
      </c>
      <c r="N47" s="94">
        <v>32</v>
      </c>
      <c r="O47" s="83">
        <v>74.372</v>
      </c>
      <c r="P47" s="27">
        <v>4</v>
      </c>
      <c r="Q47" s="26">
        <f>235.067-7.136</f>
        <v>227.931</v>
      </c>
      <c r="R47" s="27">
        <f>26-2</f>
        <v>24</v>
      </c>
      <c r="S47" s="65"/>
      <c r="T47" s="15"/>
      <c r="U47" s="60"/>
      <c r="V47" s="60"/>
    </row>
    <row r="48" spans="1:23" s="130" customFormat="1" ht="15.75">
      <c r="A48" s="155">
        <v>6</v>
      </c>
      <c r="B48" s="156" t="s">
        <v>45</v>
      </c>
      <c r="C48" s="121"/>
      <c r="D48" s="122"/>
      <c r="E48" s="121"/>
      <c r="F48" s="123"/>
      <c r="G48" s="121"/>
      <c r="H48" s="123"/>
      <c r="I48" s="121"/>
      <c r="J48" s="123"/>
      <c r="K48" s="121"/>
      <c r="L48" s="124"/>
      <c r="M48" s="125"/>
      <c r="N48" s="126"/>
      <c r="O48" s="127"/>
      <c r="P48" s="123"/>
      <c r="Q48" s="121"/>
      <c r="R48" s="123"/>
      <c r="S48" s="128"/>
      <c r="T48" s="129"/>
      <c r="U48" s="60"/>
      <c r="V48" s="60"/>
      <c r="W48" s="4"/>
    </row>
    <row r="49" spans="1:23" s="9" customFormat="1" ht="15.75">
      <c r="A49" s="131">
        <v>7</v>
      </c>
      <c r="B49" s="132" t="s">
        <v>46</v>
      </c>
      <c r="C49" s="28">
        <f>1133.812-4.631</f>
        <v>1129.1809999999998</v>
      </c>
      <c r="D49" s="29">
        <f>50-1</f>
        <v>49</v>
      </c>
      <c r="E49" s="28">
        <v>333.415</v>
      </c>
      <c r="F49" s="30">
        <v>6</v>
      </c>
      <c r="G49" s="28">
        <v>0</v>
      </c>
      <c r="H49" s="30">
        <v>0</v>
      </c>
      <c r="I49" s="28">
        <v>0</v>
      </c>
      <c r="J49" s="30">
        <v>0</v>
      </c>
      <c r="K49" s="28">
        <v>0</v>
      </c>
      <c r="L49" s="78">
        <v>0</v>
      </c>
      <c r="M49" s="100">
        <v>617.397</v>
      </c>
      <c r="N49" s="101">
        <f>24-1</f>
        <v>23</v>
      </c>
      <c r="O49" s="87">
        <v>31.108</v>
      </c>
      <c r="P49" s="30">
        <f>5-3</f>
        <v>2</v>
      </c>
      <c r="Q49" s="28">
        <f>151.892-4.631</f>
        <v>147.261</v>
      </c>
      <c r="R49" s="30">
        <f>18-1</f>
        <v>17</v>
      </c>
      <c r="S49" s="69"/>
      <c r="T49" s="15"/>
      <c r="U49" s="60"/>
      <c r="V49" s="60"/>
      <c r="W49" s="4"/>
    </row>
    <row r="50" spans="1:23" s="9" customFormat="1" ht="15.75">
      <c r="A50" s="131">
        <v>8</v>
      </c>
      <c r="B50" s="132" t="s">
        <v>47</v>
      </c>
      <c r="C50" s="28">
        <f>2008.173-13.725</f>
        <v>1994.448</v>
      </c>
      <c r="D50" s="29">
        <f>76-2</f>
        <v>74</v>
      </c>
      <c r="E50" s="28">
        <v>236.184</v>
      </c>
      <c r="F50" s="30">
        <v>6</v>
      </c>
      <c r="G50" s="28">
        <v>0</v>
      </c>
      <c r="H50" s="30">
        <v>0</v>
      </c>
      <c r="I50" s="28">
        <v>0</v>
      </c>
      <c r="J50" s="30">
        <v>0</v>
      </c>
      <c r="K50" s="28">
        <v>0</v>
      </c>
      <c r="L50" s="78">
        <v>0</v>
      </c>
      <c r="M50" s="100">
        <v>1385.488</v>
      </c>
      <c r="N50" s="101">
        <v>41</v>
      </c>
      <c r="O50" s="87">
        <v>175.462</v>
      </c>
      <c r="P50" s="30">
        <f>8-2</f>
        <v>6</v>
      </c>
      <c r="Q50" s="28">
        <f>211.039-13.725</f>
        <v>197.314</v>
      </c>
      <c r="R50" s="30">
        <f>23-2</f>
        <v>21</v>
      </c>
      <c r="S50" s="69"/>
      <c r="T50" s="15"/>
      <c r="U50" s="60"/>
      <c r="V50" s="60"/>
      <c r="W50" s="4"/>
    </row>
    <row r="51" spans="1:22" s="4" customFormat="1" ht="16.5" thickBot="1">
      <c r="A51" s="133">
        <v>9</v>
      </c>
      <c r="B51" s="134" t="s">
        <v>48</v>
      </c>
      <c r="C51" s="39">
        <f>1293.382+17.486</f>
        <v>1310.8680000000002</v>
      </c>
      <c r="D51" s="48">
        <f>62+1</f>
        <v>63</v>
      </c>
      <c r="E51" s="39">
        <v>211.471</v>
      </c>
      <c r="F51" s="40">
        <v>6</v>
      </c>
      <c r="G51" s="39">
        <v>0</v>
      </c>
      <c r="H51" s="40">
        <v>0</v>
      </c>
      <c r="I51" s="39">
        <v>0</v>
      </c>
      <c r="J51" s="40">
        <v>0</v>
      </c>
      <c r="K51" s="39">
        <v>0</v>
      </c>
      <c r="L51" s="76">
        <v>0</v>
      </c>
      <c r="M51" s="95">
        <v>814.14</v>
      </c>
      <c r="N51" s="96">
        <v>33</v>
      </c>
      <c r="O51" s="84">
        <f>111.961+17.486</f>
        <v>129.447</v>
      </c>
      <c r="P51" s="40">
        <f>6+1</f>
        <v>7</v>
      </c>
      <c r="Q51" s="39">
        <v>155.81</v>
      </c>
      <c r="R51" s="40">
        <v>17</v>
      </c>
      <c r="S51" s="66">
        <v>6.351</v>
      </c>
      <c r="T51" s="15"/>
      <c r="U51" s="60"/>
      <c r="V51" s="62"/>
    </row>
    <row r="52" spans="1:22" s="4" customFormat="1" ht="16.5" thickBot="1">
      <c r="A52" s="139" t="s">
        <v>49</v>
      </c>
      <c r="B52" s="140"/>
      <c r="C52" s="46">
        <f>SUM(C43:C51)</f>
        <v>11689.943000000001</v>
      </c>
      <c r="D52" s="46">
        <f>SUM(D43:D51)</f>
        <v>517</v>
      </c>
      <c r="E52" s="46">
        <f>SUM(E43:E51)</f>
        <v>1724.34</v>
      </c>
      <c r="F52" s="46">
        <f>SUM(F43:F51)</f>
        <v>46</v>
      </c>
      <c r="G52" s="46">
        <f aca="true" t="shared" si="7" ref="G52:S52">SUM(G43:G51)</f>
        <v>0</v>
      </c>
      <c r="H52" s="47">
        <f t="shared" si="7"/>
        <v>0</v>
      </c>
      <c r="I52" s="46">
        <f t="shared" si="7"/>
        <v>0</v>
      </c>
      <c r="J52" s="47">
        <f t="shared" si="7"/>
        <v>0</v>
      </c>
      <c r="K52" s="46">
        <f t="shared" si="7"/>
        <v>0</v>
      </c>
      <c r="L52" s="56">
        <f t="shared" si="7"/>
        <v>0</v>
      </c>
      <c r="M52" s="97">
        <f>SUM(M43:M51)</f>
        <v>7398.953</v>
      </c>
      <c r="N52" s="67">
        <f t="shared" si="7"/>
        <v>259</v>
      </c>
      <c r="O52" s="85">
        <f t="shared" si="7"/>
        <v>891.3149999999999</v>
      </c>
      <c r="P52" s="47">
        <f t="shared" si="7"/>
        <v>45</v>
      </c>
      <c r="Q52" s="47">
        <f t="shared" si="7"/>
        <v>1677.024</v>
      </c>
      <c r="R52" s="47">
        <f t="shared" si="7"/>
        <v>176</v>
      </c>
      <c r="S52" s="67">
        <f t="shared" si="7"/>
        <v>11.350999999999999</v>
      </c>
      <c r="T52" s="15"/>
      <c r="U52" s="60"/>
      <c r="V52" s="60"/>
    </row>
    <row r="53" spans="1:22" s="4" customFormat="1" ht="16.5" thickBot="1">
      <c r="A53" s="139" t="s">
        <v>50</v>
      </c>
      <c r="B53" s="140"/>
      <c r="C53" s="46">
        <f>C41+C52</f>
        <v>14481.264000000001</v>
      </c>
      <c r="D53" s="46">
        <f aca="true" t="shared" si="8" ref="D53:S53">D41+D52</f>
        <v>652</v>
      </c>
      <c r="E53" s="46">
        <f t="shared" si="8"/>
        <v>2099.416</v>
      </c>
      <c r="F53" s="46">
        <f t="shared" si="8"/>
        <v>57</v>
      </c>
      <c r="G53" s="46">
        <f t="shared" si="8"/>
        <v>0</v>
      </c>
      <c r="H53" s="46">
        <f t="shared" si="8"/>
        <v>0</v>
      </c>
      <c r="I53" s="46">
        <f t="shared" si="8"/>
        <v>0</v>
      </c>
      <c r="J53" s="46">
        <f t="shared" si="8"/>
        <v>0</v>
      </c>
      <c r="K53" s="46">
        <f t="shared" si="8"/>
        <v>0</v>
      </c>
      <c r="L53" s="57">
        <f t="shared" si="8"/>
        <v>0</v>
      </c>
      <c r="M53" s="106">
        <f t="shared" si="8"/>
        <v>8894.907000000001</v>
      </c>
      <c r="N53" s="71">
        <f t="shared" si="8"/>
        <v>316</v>
      </c>
      <c r="O53" s="90">
        <f t="shared" si="8"/>
        <v>1220.1059999999998</v>
      </c>
      <c r="P53" s="46">
        <f t="shared" si="8"/>
        <v>61</v>
      </c>
      <c r="Q53" s="46">
        <f t="shared" si="8"/>
        <v>2268.524</v>
      </c>
      <c r="R53" s="46">
        <f t="shared" si="8"/>
        <v>227</v>
      </c>
      <c r="S53" s="71">
        <f t="shared" si="8"/>
        <v>41.351</v>
      </c>
      <c r="T53" s="15"/>
      <c r="U53" s="60"/>
      <c r="V53" s="60"/>
    </row>
    <row r="54" spans="1:23" s="7" customFormat="1" ht="16.5" thickBot="1">
      <c r="A54" s="141"/>
      <c r="B54" s="142" t="s">
        <v>51</v>
      </c>
      <c r="C54" s="53">
        <v>0</v>
      </c>
      <c r="D54" s="54">
        <v>0</v>
      </c>
      <c r="E54" s="53"/>
      <c r="F54" s="54"/>
      <c r="G54" s="53">
        <v>0</v>
      </c>
      <c r="H54" s="54">
        <v>0</v>
      </c>
      <c r="I54" s="53">
        <v>0</v>
      </c>
      <c r="J54" s="54">
        <v>0</v>
      </c>
      <c r="K54" s="53">
        <v>0</v>
      </c>
      <c r="L54" s="81">
        <v>0</v>
      </c>
      <c r="M54" s="107"/>
      <c r="N54" s="108"/>
      <c r="O54" s="91"/>
      <c r="P54" s="54"/>
      <c r="Q54" s="53"/>
      <c r="R54" s="54"/>
      <c r="S54" s="73"/>
      <c r="T54" s="129"/>
      <c r="U54" s="60"/>
      <c r="V54" s="60"/>
      <c r="W54" s="6"/>
    </row>
    <row r="55" spans="1:22" s="4" customFormat="1" ht="16.5" thickBot="1">
      <c r="A55" s="151" t="s">
        <v>52</v>
      </c>
      <c r="B55" s="152"/>
      <c r="C55" s="46">
        <f>C35+C53+C54</f>
        <v>33188.188</v>
      </c>
      <c r="D55" s="46">
        <f aca="true" t="shared" si="9" ref="D55:S55">D35+D53+D54</f>
        <v>1447</v>
      </c>
      <c r="E55" s="46">
        <f t="shared" si="9"/>
        <v>4727.549</v>
      </c>
      <c r="F55" s="46">
        <f t="shared" si="9"/>
        <v>126</v>
      </c>
      <c r="G55" s="46">
        <f t="shared" si="9"/>
        <v>0</v>
      </c>
      <c r="H55" s="46">
        <f t="shared" si="9"/>
        <v>0</v>
      </c>
      <c r="I55" s="46">
        <f t="shared" si="9"/>
        <v>0</v>
      </c>
      <c r="J55" s="46">
        <f t="shared" si="9"/>
        <v>1</v>
      </c>
      <c r="K55" s="46">
        <f t="shared" si="9"/>
        <v>0</v>
      </c>
      <c r="L55" s="57">
        <f t="shared" si="9"/>
        <v>0</v>
      </c>
      <c r="M55" s="106">
        <f t="shared" si="9"/>
        <v>21286.963000000003</v>
      </c>
      <c r="N55" s="71">
        <f t="shared" si="9"/>
        <v>719</v>
      </c>
      <c r="O55" s="90">
        <f t="shared" si="9"/>
        <v>2378.112</v>
      </c>
      <c r="P55" s="46">
        <f t="shared" si="9"/>
        <v>115</v>
      </c>
      <c r="Q55" s="46">
        <f t="shared" si="9"/>
        <v>4804.032999999999</v>
      </c>
      <c r="R55" s="46">
        <f>R35+R53+R54</f>
        <v>494</v>
      </c>
      <c r="S55" s="71">
        <f t="shared" si="9"/>
        <v>61.78399999999999</v>
      </c>
      <c r="T55" s="63"/>
      <c r="U55" s="60"/>
      <c r="V55" s="60"/>
    </row>
    <row r="56" spans="1:20" ht="15.75">
      <c r="A56" s="35"/>
      <c r="B56" s="15"/>
      <c r="C56" s="15"/>
      <c r="D56" s="36"/>
      <c r="E56" s="37"/>
      <c r="F56" s="35"/>
      <c r="G56" s="35"/>
      <c r="H56" s="15"/>
      <c r="I56" s="15"/>
      <c r="J56" s="15"/>
      <c r="K56" s="15"/>
      <c r="L56" s="16"/>
      <c r="M56" s="16"/>
      <c r="N56" s="16"/>
      <c r="O56" s="16"/>
      <c r="P56" s="16"/>
      <c r="Q56" s="16"/>
      <c r="R56" s="16"/>
      <c r="S56" s="16"/>
      <c r="T56" s="16"/>
    </row>
    <row r="57" spans="1:20" ht="15.75">
      <c r="A57" s="35"/>
      <c r="B57" s="38" t="s">
        <v>71</v>
      </c>
      <c r="C57" s="38"/>
      <c r="D57" s="36"/>
      <c r="E57" s="37"/>
      <c r="F57" s="35"/>
      <c r="G57" s="35"/>
      <c r="H57" s="15"/>
      <c r="I57" s="15"/>
      <c r="J57" s="15"/>
      <c r="K57" s="15"/>
      <c r="L57" s="16"/>
      <c r="M57" s="154"/>
      <c r="N57" s="154"/>
      <c r="O57" s="16"/>
      <c r="P57" s="16"/>
      <c r="Q57" s="16"/>
      <c r="R57" s="16"/>
      <c r="S57" s="16"/>
      <c r="T57" s="16"/>
    </row>
    <row r="58" spans="1:20" ht="15.75">
      <c r="A58" s="35"/>
      <c r="B58" s="15"/>
      <c r="C58" s="15"/>
      <c r="D58" s="36"/>
      <c r="E58" s="37"/>
      <c r="F58" s="35"/>
      <c r="G58" s="35"/>
      <c r="H58" s="15"/>
      <c r="I58" s="15"/>
      <c r="J58" s="15"/>
      <c r="K58" s="15"/>
      <c r="L58" s="16"/>
      <c r="M58" s="16"/>
      <c r="N58" s="16"/>
      <c r="O58" s="16"/>
      <c r="P58" s="16"/>
      <c r="Q58" s="16"/>
      <c r="R58" s="16"/>
      <c r="S58" s="16"/>
      <c r="T58" s="16"/>
    </row>
    <row r="59" spans="1:20" ht="15.75">
      <c r="A59" s="35"/>
      <c r="B59" s="15"/>
      <c r="C59" s="15"/>
      <c r="D59" s="36"/>
      <c r="E59" s="37"/>
      <c r="F59" s="35"/>
      <c r="G59" s="35"/>
      <c r="H59" s="15"/>
      <c r="I59" s="15"/>
      <c r="J59" s="15"/>
      <c r="K59" s="15"/>
      <c r="L59" s="16"/>
      <c r="M59" s="16"/>
      <c r="N59" s="16"/>
      <c r="O59" s="16"/>
      <c r="P59" s="16"/>
      <c r="Q59" s="16"/>
      <c r="R59" s="16"/>
      <c r="S59" s="16"/>
      <c r="T59" s="16"/>
    </row>
    <row r="60" spans="1:20" ht="15.75">
      <c r="A60" s="35"/>
      <c r="B60" s="15"/>
      <c r="C60" s="15"/>
      <c r="D60" s="36"/>
      <c r="E60" s="37"/>
      <c r="F60" s="35"/>
      <c r="G60" s="35"/>
      <c r="H60" s="15"/>
      <c r="I60" s="15"/>
      <c r="J60" s="15"/>
      <c r="K60" s="15"/>
      <c r="L60" s="16"/>
      <c r="M60" s="16"/>
      <c r="N60" s="16"/>
      <c r="O60" s="16"/>
      <c r="P60" s="16"/>
      <c r="Q60" s="16"/>
      <c r="R60" s="16"/>
      <c r="S60" s="16"/>
      <c r="T60" s="16"/>
    </row>
    <row r="61" spans="1:20" ht="15.75">
      <c r="A61" s="35"/>
      <c r="B61" s="15"/>
      <c r="C61" s="15"/>
      <c r="D61" s="36"/>
      <c r="E61" s="37"/>
      <c r="F61" s="35"/>
      <c r="G61" s="35"/>
      <c r="H61" s="15"/>
      <c r="I61" s="15"/>
      <c r="J61" s="15"/>
      <c r="K61" s="15"/>
      <c r="L61" s="16"/>
      <c r="M61" s="16"/>
      <c r="N61" s="16"/>
      <c r="O61" s="16"/>
      <c r="P61" s="16"/>
      <c r="Q61" s="16"/>
      <c r="R61" s="16"/>
      <c r="S61" s="16"/>
      <c r="T61" s="16"/>
    </row>
    <row r="62" spans="1:20" ht="15.75">
      <c r="A62" s="35"/>
      <c r="B62" s="15"/>
      <c r="C62" s="15"/>
      <c r="D62" s="36"/>
      <c r="E62" s="37"/>
      <c r="F62" s="35"/>
      <c r="G62" s="35"/>
      <c r="H62" s="15"/>
      <c r="I62" s="15"/>
      <c r="J62" s="15"/>
      <c r="K62" s="15"/>
      <c r="L62" s="16"/>
      <c r="M62" s="16"/>
      <c r="N62" s="16"/>
      <c r="O62" s="16"/>
      <c r="P62" s="16"/>
      <c r="Q62" s="16"/>
      <c r="R62" s="16"/>
      <c r="S62" s="16"/>
      <c r="T62" s="16"/>
    </row>
    <row r="63" spans="1:20" ht="15.75">
      <c r="A63" s="35"/>
      <c r="B63" s="15"/>
      <c r="C63" s="15"/>
      <c r="D63" s="36"/>
      <c r="E63" s="37"/>
      <c r="F63" s="35"/>
      <c r="G63" s="35"/>
      <c r="H63" s="15"/>
      <c r="I63" s="15"/>
      <c r="J63" s="15"/>
      <c r="K63" s="15"/>
      <c r="L63" s="16"/>
      <c r="M63" s="16"/>
      <c r="N63" s="16"/>
      <c r="O63" s="16"/>
      <c r="P63" s="16"/>
      <c r="Q63" s="16"/>
      <c r="R63" s="16"/>
      <c r="S63" s="16"/>
      <c r="T63" s="16"/>
    </row>
    <row r="64" spans="1:20" ht="15.75">
      <c r="A64" s="35"/>
      <c r="B64" s="15"/>
      <c r="C64" s="15"/>
      <c r="D64" s="36"/>
      <c r="E64" s="37"/>
      <c r="F64" s="35"/>
      <c r="G64" s="35"/>
      <c r="H64" s="15"/>
      <c r="I64" s="15"/>
      <c r="J64" s="15"/>
      <c r="K64" s="15"/>
      <c r="L64" s="16"/>
      <c r="M64" s="16"/>
      <c r="N64" s="16"/>
      <c r="O64" s="16"/>
      <c r="P64" s="16"/>
      <c r="Q64" s="16"/>
      <c r="R64" s="16"/>
      <c r="S64" s="16"/>
      <c r="T64" s="16"/>
    </row>
    <row r="65" spans="1:20" ht="15.75">
      <c r="A65" s="35"/>
      <c r="B65" s="15"/>
      <c r="C65" s="15"/>
      <c r="D65" s="36"/>
      <c r="E65" s="37"/>
      <c r="F65" s="35"/>
      <c r="G65" s="35"/>
      <c r="H65" s="15"/>
      <c r="I65" s="15"/>
      <c r="J65" s="15"/>
      <c r="K65" s="15"/>
      <c r="L65" s="16"/>
      <c r="M65" s="16"/>
      <c r="N65" s="16"/>
      <c r="O65" s="16"/>
      <c r="P65" s="16"/>
      <c r="Q65" s="16"/>
      <c r="R65" s="16"/>
      <c r="S65" s="16"/>
      <c r="T65" s="16"/>
    </row>
    <row r="66" spans="1:20" ht="15.75">
      <c r="A66" s="35"/>
      <c r="B66" s="15"/>
      <c r="C66" s="15"/>
      <c r="D66" s="36"/>
      <c r="E66" s="37"/>
      <c r="F66" s="35"/>
      <c r="G66" s="35"/>
      <c r="H66" s="15"/>
      <c r="I66" s="15"/>
      <c r="J66" s="15"/>
      <c r="K66" s="15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5.75">
      <c r="A67" s="35"/>
      <c r="B67" s="15"/>
      <c r="C67" s="15"/>
      <c r="D67" s="36"/>
      <c r="E67" s="37"/>
      <c r="F67" s="35"/>
      <c r="G67" s="35"/>
      <c r="H67" s="15"/>
      <c r="I67" s="15"/>
      <c r="J67" s="15"/>
      <c r="K67" s="15"/>
      <c r="L67" s="16"/>
      <c r="M67" s="16"/>
      <c r="N67" s="16"/>
      <c r="O67" s="16"/>
      <c r="P67" s="16"/>
      <c r="Q67" s="16"/>
      <c r="R67" s="16"/>
      <c r="S67" s="16"/>
      <c r="T67" s="16"/>
    </row>
    <row r="68" spans="1:20" ht="15.75">
      <c r="A68" s="35"/>
      <c r="B68" s="15"/>
      <c r="C68" s="15"/>
      <c r="D68" s="36"/>
      <c r="E68" s="37"/>
      <c r="F68" s="35"/>
      <c r="G68" s="35"/>
      <c r="H68" s="15"/>
      <c r="I68" s="15"/>
      <c r="J68" s="15"/>
      <c r="K68" s="15"/>
      <c r="L68" s="16"/>
      <c r="M68" s="16"/>
      <c r="N68" s="16"/>
      <c r="O68" s="16"/>
      <c r="P68" s="16"/>
      <c r="Q68" s="16"/>
      <c r="R68" s="16"/>
      <c r="S68" s="16"/>
      <c r="T68" s="16"/>
    </row>
    <row r="69" spans="1:20" ht="15.75">
      <c r="A69" s="35"/>
      <c r="B69" s="15"/>
      <c r="C69" s="15"/>
      <c r="D69" s="36"/>
      <c r="E69" s="37"/>
      <c r="F69" s="35"/>
      <c r="G69" s="35"/>
      <c r="H69" s="15"/>
      <c r="I69" s="15"/>
      <c r="J69" s="15"/>
      <c r="K69" s="15"/>
      <c r="L69" s="16"/>
      <c r="M69" s="16"/>
      <c r="N69" s="16"/>
      <c r="O69" s="16"/>
      <c r="P69" s="16"/>
      <c r="Q69" s="16"/>
      <c r="R69" s="16"/>
      <c r="S69" s="16"/>
      <c r="T69" s="16"/>
    </row>
    <row r="70" spans="1:20" ht="15.75">
      <c r="A70" s="35"/>
      <c r="B70" s="15"/>
      <c r="C70" s="15"/>
      <c r="D70" s="36"/>
      <c r="E70" s="37"/>
      <c r="F70" s="35"/>
      <c r="G70" s="35"/>
      <c r="H70" s="15"/>
      <c r="I70" s="15"/>
      <c r="J70" s="15"/>
      <c r="K70" s="15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5.75">
      <c r="A71" s="35"/>
      <c r="B71" s="15"/>
      <c r="C71" s="15"/>
      <c r="D71" s="36"/>
      <c r="E71" s="37"/>
      <c r="F71" s="35"/>
      <c r="G71" s="35"/>
      <c r="H71" s="15"/>
      <c r="I71" s="15"/>
      <c r="J71" s="15"/>
      <c r="K71" s="15"/>
      <c r="L71" s="16"/>
      <c r="M71" s="16"/>
      <c r="N71" s="16"/>
      <c r="O71" s="16"/>
      <c r="P71" s="16"/>
      <c r="Q71" s="16"/>
      <c r="R71" s="16"/>
      <c r="S71" s="16"/>
      <c r="T71" s="16"/>
    </row>
    <row r="72" spans="1:20" ht="15.75">
      <c r="A72" s="35"/>
      <c r="B72" s="15"/>
      <c r="C72" s="15"/>
      <c r="D72" s="36"/>
      <c r="E72" s="37"/>
      <c r="F72" s="35"/>
      <c r="G72" s="35"/>
      <c r="H72" s="15"/>
      <c r="I72" s="15"/>
      <c r="J72" s="15"/>
      <c r="K72" s="15"/>
      <c r="L72" s="16"/>
      <c r="M72" s="16"/>
      <c r="N72" s="16"/>
      <c r="O72" s="16"/>
      <c r="P72" s="16"/>
      <c r="Q72" s="16"/>
      <c r="R72" s="16"/>
      <c r="S72" s="16"/>
      <c r="T72" s="16"/>
    </row>
    <row r="73" spans="1:20" ht="15.75">
      <c r="A73" s="35"/>
      <c r="B73" s="15"/>
      <c r="C73" s="15"/>
      <c r="D73" s="36"/>
      <c r="E73" s="37"/>
      <c r="F73" s="35"/>
      <c r="G73" s="35"/>
      <c r="H73" s="15"/>
      <c r="I73" s="15"/>
      <c r="J73" s="15"/>
      <c r="K73" s="15"/>
      <c r="L73" s="16"/>
      <c r="M73" s="16"/>
      <c r="N73" s="16"/>
      <c r="O73" s="16"/>
      <c r="P73" s="16"/>
      <c r="Q73" s="16"/>
      <c r="R73" s="16"/>
      <c r="S73" s="16"/>
      <c r="T73" s="16"/>
    </row>
    <row r="74" spans="1:20" ht="15.75">
      <c r="A74" s="35"/>
      <c r="B74" s="15"/>
      <c r="C74" s="15"/>
      <c r="D74" s="36"/>
      <c r="E74" s="37"/>
      <c r="F74" s="35"/>
      <c r="G74" s="35"/>
      <c r="H74" s="15"/>
      <c r="I74" s="15"/>
      <c r="J74" s="15"/>
      <c r="K74" s="15"/>
      <c r="L74" s="16"/>
      <c r="M74" s="16"/>
      <c r="N74" s="16"/>
      <c r="O74" s="16"/>
      <c r="P74" s="16"/>
      <c r="Q74" s="16"/>
      <c r="R74" s="16"/>
      <c r="S74" s="16"/>
      <c r="T74" s="16"/>
    </row>
    <row r="75" spans="1:20" ht="15.75">
      <c r="A75" s="35"/>
      <c r="B75" s="15"/>
      <c r="C75" s="15"/>
      <c r="D75" s="36"/>
      <c r="E75" s="37"/>
      <c r="F75" s="35"/>
      <c r="G75" s="35"/>
      <c r="H75" s="15"/>
      <c r="I75" s="15"/>
      <c r="J75" s="15"/>
      <c r="K75" s="15"/>
      <c r="L75" s="16"/>
      <c r="M75" s="16"/>
      <c r="N75" s="16"/>
      <c r="O75" s="16"/>
      <c r="P75" s="16"/>
      <c r="Q75" s="16"/>
      <c r="R75" s="16"/>
      <c r="S75" s="16"/>
      <c r="T75" s="16"/>
    </row>
    <row r="76" spans="1:20" ht="15.75">
      <c r="A76" s="35"/>
      <c r="B76" s="15"/>
      <c r="C76" s="15"/>
      <c r="D76" s="36"/>
      <c r="E76" s="37"/>
      <c r="F76" s="35"/>
      <c r="G76" s="35"/>
      <c r="H76" s="15"/>
      <c r="I76" s="15"/>
      <c r="J76" s="15"/>
      <c r="K76" s="15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5.75">
      <c r="A77" s="35"/>
      <c r="B77" s="15"/>
      <c r="C77" s="15"/>
      <c r="D77" s="36"/>
      <c r="E77" s="37"/>
      <c r="F77" s="35"/>
      <c r="G77" s="35"/>
      <c r="H77" s="15"/>
      <c r="I77" s="15"/>
      <c r="J77" s="15"/>
      <c r="K77" s="15"/>
      <c r="L77" s="16"/>
      <c r="M77" s="16"/>
      <c r="N77" s="16"/>
      <c r="O77" s="16"/>
      <c r="P77" s="16"/>
      <c r="Q77" s="16"/>
      <c r="R77" s="16"/>
      <c r="S77" s="16"/>
      <c r="T77" s="16"/>
    </row>
    <row r="78" spans="1:20" ht="15.75">
      <c r="A78" s="35"/>
      <c r="B78" s="15"/>
      <c r="C78" s="15"/>
      <c r="D78" s="36"/>
      <c r="E78" s="37"/>
      <c r="F78" s="35"/>
      <c r="G78" s="35"/>
      <c r="H78" s="15"/>
      <c r="I78" s="15"/>
      <c r="J78" s="15"/>
      <c r="K78" s="15"/>
      <c r="L78" s="16"/>
      <c r="M78" s="16"/>
      <c r="N78" s="16"/>
      <c r="O78" s="16"/>
      <c r="P78" s="16"/>
      <c r="Q78" s="16"/>
      <c r="R78" s="16"/>
      <c r="S78" s="16"/>
      <c r="T78" s="16"/>
    </row>
    <row r="79" spans="1:20" ht="15.75">
      <c r="A79" s="35"/>
      <c r="B79" s="15"/>
      <c r="C79" s="15"/>
      <c r="D79" s="36"/>
      <c r="E79" s="37"/>
      <c r="F79" s="35"/>
      <c r="G79" s="35"/>
      <c r="H79" s="15"/>
      <c r="I79" s="15"/>
      <c r="J79" s="15"/>
      <c r="K79" s="15"/>
      <c r="L79" s="16"/>
      <c r="M79" s="16"/>
      <c r="N79" s="16"/>
      <c r="O79" s="16"/>
      <c r="P79" s="16"/>
      <c r="Q79" s="16"/>
      <c r="R79" s="16"/>
      <c r="S79" s="16"/>
      <c r="T79" s="16"/>
    </row>
    <row r="80" spans="1:20" ht="15.75">
      <c r="A80" s="35"/>
      <c r="B80" s="15"/>
      <c r="C80" s="15"/>
      <c r="D80" s="36"/>
      <c r="E80" s="37"/>
      <c r="F80" s="35"/>
      <c r="G80" s="35"/>
      <c r="H80" s="15"/>
      <c r="I80" s="15"/>
      <c r="J80" s="15"/>
      <c r="K80" s="15"/>
      <c r="L80" s="16"/>
      <c r="M80" s="16"/>
      <c r="N80" s="16"/>
      <c r="O80" s="16"/>
      <c r="P80" s="16"/>
      <c r="Q80" s="16"/>
      <c r="R80" s="16"/>
      <c r="S80" s="16"/>
      <c r="T80" s="16"/>
    </row>
    <row r="81" spans="1:20" ht="15.75">
      <c r="A81" s="35"/>
      <c r="B81" s="15"/>
      <c r="C81" s="15"/>
      <c r="D81" s="36"/>
      <c r="E81" s="37"/>
      <c r="F81" s="35"/>
      <c r="G81" s="35"/>
      <c r="H81" s="15"/>
      <c r="I81" s="15"/>
      <c r="J81" s="15"/>
      <c r="K81" s="15"/>
      <c r="L81" s="16"/>
      <c r="M81" s="16"/>
      <c r="N81" s="16"/>
      <c r="O81" s="16"/>
      <c r="P81" s="16"/>
      <c r="Q81" s="16"/>
      <c r="R81" s="16"/>
      <c r="S81" s="16"/>
      <c r="T81" s="16"/>
    </row>
    <row r="82" spans="1:20" ht="15.75">
      <c r="A82" s="35"/>
      <c r="B82" s="15"/>
      <c r="C82" s="15"/>
      <c r="D82" s="36"/>
      <c r="E82" s="37"/>
      <c r="F82" s="35"/>
      <c r="G82" s="35"/>
      <c r="H82" s="15"/>
      <c r="I82" s="15"/>
      <c r="J82" s="15"/>
      <c r="K82" s="15"/>
      <c r="L82" s="16"/>
      <c r="M82" s="16"/>
      <c r="N82" s="16"/>
      <c r="O82" s="16"/>
      <c r="P82" s="16"/>
      <c r="Q82" s="16"/>
      <c r="R82" s="16"/>
      <c r="S82" s="16"/>
      <c r="T82" s="16"/>
    </row>
    <row r="83" spans="1:20" ht="15.75">
      <c r="A83" s="35"/>
      <c r="B83" s="15"/>
      <c r="C83" s="15"/>
      <c r="D83" s="36"/>
      <c r="E83" s="37"/>
      <c r="F83" s="35"/>
      <c r="G83" s="35"/>
      <c r="H83" s="15"/>
      <c r="I83" s="15"/>
      <c r="J83" s="15"/>
      <c r="K83" s="15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5.75">
      <c r="A84" s="35"/>
      <c r="B84" s="15"/>
      <c r="C84" s="15"/>
      <c r="D84" s="36"/>
      <c r="E84" s="37"/>
      <c r="F84" s="35"/>
      <c r="G84" s="35"/>
      <c r="H84" s="15"/>
      <c r="I84" s="15"/>
      <c r="J84" s="15"/>
      <c r="K84" s="15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15.75">
      <c r="A85" s="35"/>
      <c r="B85" s="15"/>
      <c r="C85" s="15"/>
      <c r="D85" s="36"/>
      <c r="E85" s="37"/>
      <c r="F85" s="35"/>
      <c r="G85" s="35"/>
      <c r="H85" s="15"/>
      <c r="I85" s="15"/>
      <c r="J85" s="15"/>
      <c r="K85" s="15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5.75">
      <c r="A86" s="35"/>
      <c r="B86" s="15"/>
      <c r="C86" s="15"/>
      <c r="D86" s="36"/>
      <c r="E86" s="37"/>
      <c r="F86" s="35"/>
      <c r="G86" s="35"/>
      <c r="H86" s="15"/>
      <c r="I86" s="15"/>
      <c r="J86" s="15"/>
      <c r="K86" s="15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5.75">
      <c r="A87" s="35"/>
      <c r="B87" s="15"/>
      <c r="C87" s="15"/>
      <c r="D87" s="36"/>
      <c r="E87" s="37"/>
      <c r="F87" s="35"/>
      <c r="G87" s="35"/>
      <c r="H87" s="15"/>
      <c r="I87" s="15"/>
      <c r="J87" s="15"/>
      <c r="K87" s="15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15.75">
      <c r="A88" s="35"/>
      <c r="B88" s="15"/>
      <c r="C88" s="15"/>
      <c r="D88" s="36"/>
      <c r="E88" s="37"/>
      <c r="F88" s="35"/>
      <c r="G88" s="35"/>
      <c r="H88" s="15"/>
      <c r="I88" s="15"/>
      <c r="J88" s="15"/>
      <c r="K88" s="15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15.75">
      <c r="A89" s="35"/>
      <c r="B89" s="15"/>
      <c r="C89" s="15"/>
      <c r="D89" s="36"/>
      <c r="E89" s="37"/>
      <c r="F89" s="35"/>
      <c r="G89" s="35"/>
      <c r="H89" s="15"/>
      <c r="I89" s="15"/>
      <c r="J89" s="15"/>
      <c r="K89" s="15"/>
      <c r="L89" s="16"/>
      <c r="M89" s="16"/>
      <c r="N89" s="16"/>
      <c r="O89" s="16"/>
      <c r="P89" s="16"/>
      <c r="Q89" s="16"/>
      <c r="R89" s="16"/>
      <c r="S89" s="16"/>
      <c r="T89" s="16"/>
    </row>
    <row r="90" spans="1:20" ht="15.75">
      <c r="A90" s="35"/>
      <c r="B90" s="15"/>
      <c r="C90" s="15"/>
      <c r="D90" s="36"/>
      <c r="E90" s="37"/>
      <c r="F90" s="35"/>
      <c r="G90" s="35"/>
      <c r="H90" s="15"/>
      <c r="I90" s="15"/>
      <c r="J90" s="15"/>
      <c r="K90" s="15"/>
      <c r="L90" s="16"/>
      <c r="M90" s="16"/>
      <c r="N90" s="16"/>
      <c r="O90" s="16"/>
      <c r="P90" s="16"/>
      <c r="Q90" s="16"/>
      <c r="R90" s="16"/>
      <c r="S90" s="16"/>
      <c r="T90" s="16"/>
    </row>
    <row r="91" spans="1:20" ht="15.75">
      <c r="A91" s="35"/>
      <c r="B91" s="15"/>
      <c r="C91" s="15"/>
      <c r="D91" s="36"/>
      <c r="E91" s="37"/>
      <c r="F91" s="35"/>
      <c r="G91" s="35"/>
      <c r="H91" s="15"/>
      <c r="I91" s="15"/>
      <c r="J91" s="15"/>
      <c r="K91" s="15"/>
      <c r="L91" s="16"/>
      <c r="M91" s="16"/>
      <c r="N91" s="16"/>
      <c r="O91" s="16"/>
      <c r="P91" s="16"/>
      <c r="Q91" s="16"/>
      <c r="R91" s="16"/>
      <c r="S91" s="16"/>
      <c r="T91" s="16"/>
    </row>
    <row r="92" spans="1:20" ht="15.75">
      <c r="A92" s="35"/>
      <c r="B92" s="15"/>
      <c r="C92" s="15"/>
      <c r="D92" s="36"/>
      <c r="E92" s="37"/>
      <c r="F92" s="35"/>
      <c r="G92" s="35"/>
      <c r="H92" s="15"/>
      <c r="I92" s="15"/>
      <c r="J92" s="15"/>
      <c r="K92" s="15"/>
      <c r="L92" s="16"/>
      <c r="M92" s="16"/>
      <c r="N92" s="16"/>
      <c r="O92" s="16"/>
      <c r="P92" s="16"/>
      <c r="Q92" s="16"/>
      <c r="R92" s="16"/>
      <c r="S92" s="16"/>
      <c r="T92" s="16"/>
    </row>
    <row r="93" spans="1:20" ht="15.75">
      <c r="A93" s="35"/>
      <c r="B93" s="15"/>
      <c r="C93" s="15"/>
      <c r="D93" s="36"/>
      <c r="E93" s="37"/>
      <c r="F93" s="35"/>
      <c r="G93" s="35"/>
      <c r="H93" s="15"/>
      <c r="I93" s="15"/>
      <c r="J93" s="15"/>
      <c r="K93" s="15"/>
      <c r="L93" s="16"/>
      <c r="M93" s="16"/>
      <c r="N93" s="16"/>
      <c r="O93" s="16"/>
      <c r="P93" s="16"/>
      <c r="Q93" s="16"/>
      <c r="R93" s="16"/>
      <c r="S93" s="16"/>
      <c r="T93" s="16"/>
    </row>
    <row r="94" spans="1:20" ht="15.75">
      <c r="A94" s="35"/>
      <c r="B94" s="15"/>
      <c r="C94" s="15"/>
      <c r="D94" s="36"/>
      <c r="E94" s="37"/>
      <c r="F94" s="35"/>
      <c r="G94" s="35"/>
      <c r="H94" s="15"/>
      <c r="I94" s="15"/>
      <c r="J94" s="15"/>
      <c r="K94" s="15"/>
      <c r="L94" s="16"/>
      <c r="M94" s="16"/>
      <c r="N94" s="16"/>
      <c r="O94" s="16"/>
      <c r="P94" s="16"/>
      <c r="Q94" s="16"/>
      <c r="R94" s="16"/>
      <c r="S94" s="16"/>
      <c r="T94" s="16"/>
    </row>
    <row r="95" spans="1:20" ht="15.75">
      <c r="A95" s="35"/>
      <c r="B95" s="15"/>
      <c r="C95" s="15"/>
      <c r="D95" s="36"/>
      <c r="E95" s="37"/>
      <c r="F95" s="35"/>
      <c r="G95" s="35"/>
      <c r="H95" s="15"/>
      <c r="I95" s="15"/>
      <c r="J95" s="15"/>
      <c r="K95" s="15"/>
      <c r="L95" s="16"/>
      <c r="M95" s="16"/>
      <c r="N95" s="16"/>
      <c r="O95" s="16"/>
      <c r="P95" s="16"/>
      <c r="Q95" s="16"/>
      <c r="R95" s="16"/>
      <c r="S95" s="16"/>
      <c r="T95" s="16"/>
    </row>
    <row r="96" spans="1:20" ht="15.75">
      <c r="A96" s="35"/>
      <c r="B96" s="15"/>
      <c r="C96" s="15"/>
      <c r="D96" s="36"/>
      <c r="E96" s="37"/>
      <c r="F96" s="35"/>
      <c r="G96" s="35"/>
      <c r="H96" s="15"/>
      <c r="I96" s="15"/>
      <c r="J96" s="15"/>
      <c r="K96" s="15"/>
      <c r="L96" s="16"/>
      <c r="M96" s="16"/>
      <c r="N96" s="16"/>
      <c r="O96" s="16"/>
      <c r="P96" s="16"/>
      <c r="Q96" s="16"/>
      <c r="R96" s="16"/>
      <c r="S96" s="16"/>
      <c r="T96" s="16"/>
    </row>
    <row r="97" spans="1:20" ht="15.75">
      <c r="A97" s="35"/>
      <c r="B97" s="15"/>
      <c r="C97" s="15"/>
      <c r="D97" s="36"/>
      <c r="E97" s="37"/>
      <c r="F97" s="35"/>
      <c r="G97" s="35"/>
      <c r="H97" s="15"/>
      <c r="I97" s="15"/>
      <c r="J97" s="15"/>
      <c r="K97" s="15"/>
      <c r="L97" s="16"/>
      <c r="M97" s="16"/>
      <c r="N97" s="16"/>
      <c r="O97" s="16"/>
      <c r="P97" s="16"/>
      <c r="Q97" s="16"/>
      <c r="R97" s="16"/>
      <c r="S97" s="16"/>
      <c r="T97" s="16"/>
    </row>
    <row r="98" spans="1:20" ht="15.75">
      <c r="A98" s="35"/>
      <c r="B98" s="15"/>
      <c r="C98" s="15"/>
      <c r="D98" s="36"/>
      <c r="E98" s="37"/>
      <c r="F98" s="35"/>
      <c r="G98" s="35"/>
      <c r="H98" s="15"/>
      <c r="I98" s="15"/>
      <c r="J98" s="15"/>
      <c r="K98" s="15"/>
      <c r="L98" s="16"/>
      <c r="M98" s="16"/>
      <c r="N98" s="16"/>
      <c r="O98" s="16"/>
      <c r="P98" s="16"/>
      <c r="Q98" s="16"/>
      <c r="R98" s="16"/>
      <c r="S98" s="16"/>
      <c r="T98" s="16"/>
    </row>
    <row r="99" spans="1:20" ht="15.75">
      <c r="A99" s="35"/>
      <c r="B99" s="15"/>
      <c r="C99" s="15"/>
      <c r="D99" s="36"/>
      <c r="E99" s="37"/>
      <c r="F99" s="35"/>
      <c r="G99" s="35"/>
      <c r="H99" s="15"/>
      <c r="I99" s="15"/>
      <c r="J99" s="15"/>
      <c r="K99" s="15"/>
      <c r="L99" s="16"/>
      <c r="M99" s="16"/>
      <c r="N99" s="16"/>
      <c r="O99" s="16"/>
      <c r="P99" s="16"/>
      <c r="Q99" s="16"/>
      <c r="R99" s="16"/>
      <c r="S99" s="16"/>
      <c r="T99" s="16"/>
    </row>
    <row r="100" spans="1:20" ht="15.75">
      <c r="A100" s="35"/>
      <c r="B100" s="15"/>
      <c r="C100" s="15"/>
      <c r="D100" s="36"/>
      <c r="E100" s="37"/>
      <c r="F100" s="35"/>
      <c r="G100" s="35"/>
      <c r="H100" s="15"/>
      <c r="I100" s="15"/>
      <c r="J100" s="15"/>
      <c r="K100" s="15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ht="15.75">
      <c r="A101" s="35"/>
      <c r="B101" s="15"/>
      <c r="C101" s="15"/>
      <c r="D101" s="36"/>
      <c r="E101" s="37"/>
      <c r="F101" s="35"/>
      <c r="G101" s="35"/>
      <c r="H101" s="15"/>
      <c r="I101" s="15"/>
      <c r="J101" s="15"/>
      <c r="K101" s="15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 ht="15.75">
      <c r="A102" s="35"/>
      <c r="B102" s="15"/>
      <c r="C102" s="15"/>
      <c r="D102" s="36"/>
      <c r="E102" s="37"/>
      <c r="F102" s="35"/>
      <c r="G102" s="35"/>
      <c r="H102" s="15"/>
      <c r="I102" s="15"/>
      <c r="J102" s="15"/>
      <c r="K102" s="15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 ht="15.75">
      <c r="A103" s="35"/>
      <c r="B103" s="15"/>
      <c r="C103" s="15"/>
      <c r="D103" s="36"/>
      <c r="E103" s="37"/>
      <c r="F103" s="35"/>
      <c r="G103" s="35"/>
      <c r="H103" s="15"/>
      <c r="I103" s="15"/>
      <c r="J103" s="15"/>
      <c r="K103" s="15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 ht="15.75">
      <c r="A104" s="35"/>
      <c r="B104" s="15"/>
      <c r="C104" s="15"/>
      <c r="D104" s="36"/>
      <c r="E104" s="37"/>
      <c r="F104" s="35"/>
      <c r="G104" s="35"/>
      <c r="H104" s="15"/>
      <c r="I104" s="15"/>
      <c r="J104" s="15"/>
      <c r="K104" s="15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 ht="15.75">
      <c r="A105" s="35"/>
      <c r="B105" s="15"/>
      <c r="C105" s="15"/>
      <c r="D105" s="36"/>
      <c r="E105" s="37"/>
      <c r="F105" s="35"/>
      <c r="G105" s="35"/>
      <c r="H105" s="15"/>
      <c r="I105" s="15"/>
      <c r="J105" s="15"/>
      <c r="K105" s="15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1:20" ht="15.75">
      <c r="A106" s="35"/>
      <c r="B106" s="15"/>
      <c r="C106" s="15"/>
      <c r="D106" s="36"/>
      <c r="E106" s="37"/>
      <c r="F106" s="35"/>
      <c r="G106" s="35"/>
      <c r="H106" s="15"/>
      <c r="I106" s="15"/>
      <c r="J106" s="15"/>
      <c r="K106" s="15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1:20" ht="15.75">
      <c r="A107" s="35"/>
      <c r="B107" s="15"/>
      <c r="C107" s="15"/>
      <c r="D107" s="36"/>
      <c r="E107" s="37"/>
      <c r="F107" s="35"/>
      <c r="G107" s="35"/>
      <c r="H107" s="15"/>
      <c r="I107" s="15"/>
      <c r="J107" s="15"/>
      <c r="K107" s="15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1:20" ht="15.75">
      <c r="A108" s="35"/>
      <c r="B108" s="15"/>
      <c r="C108" s="15"/>
      <c r="D108" s="36"/>
      <c r="E108" s="37"/>
      <c r="F108" s="35"/>
      <c r="G108" s="35"/>
      <c r="H108" s="15"/>
      <c r="I108" s="15"/>
      <c r="J108" s="15"/>
      <c r="K108" s="15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1:20" ht="15.75">
      <c r="A109" s="35"/>
      <c r="B109" s="15"/>
      <c r="C109" s="15"/>
      <c r="D109" s="36"/>
      <c r="E109" s="37"/>
      <c r="F109" s="35"/>
      <c r="G109" s="35"/>
      <c r="H109" s="15"/>
      <c r="I109" s="15"/>
      <c r="J109" s="15"/>
      <c r="K109" s="15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1:20" ht="15.75">
      <c r="A110" s="35"/>
      <c r="B110" s="15"/>
      <c r="C110" s="15"/>
      <c r="D110" s="36"/>
      <c r="E110" s="37"/>
      <c r="F110" s="35"/>
      <c r="G110" s="35"/>
      <c r="H110" s="15"/>
      <c r="I110" s="15"/>
      <c r="J110" s="15"/>
      <c r="K110" s="15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1:20" ht="15.75">
      <c r="A111" s="35"/>
      <c r="B111" s="15"/>
      <c r="C111" s="15"/>
      <c r="D111" s="36"/>
      <c r="E111" s="37"/>
      <c r="F111" s="35"/>
      <c r="G111" s="35"/>
      <c r="H111" s="15"/>
      <c r="I111" s="15"/>
      <c r="J111" s="15"/>
      <c r="K111" s="15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ht="15.75">
      <c r="A112" s="35"/>
      <c r="B112" s="15"/>
      <c r="C112" s="15"/>
      <c r="D112" s="36"/>
      <c r="E112" s="37"/>
      <c r="F112" s="35"/>
      <c r="G112" s="35"/>
      <c r="H112" s="15"/>
      <c r="I112" s="15"/>
      <c r="J112" s="15"/>
      <c r="K112" s="15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ht="15.75">
      <c r="A113" s="35"/>
      <c r="B113" s="15"/>
      <c r="C113" s="15"/>
      <c r="D113" s="36"/>
      <c r="E113" s="37"/>
      <c r="F113" s="35"/>
      <c r="G113" s="35"/>
      <c r="H113" s="15"/>
      <c r="I113" s="15"/>
      <c r="J113" s="15"/>
      <c r="K113" s="15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ht="15.75">
      <c r="A114" s="35"/>
      <c r="B114" s="15"/>
      <c r="C114" s="15"/>
      <c r="D114" s="36"/>
      <c r="E114" s="37"/>
      <c r="F114" s="35"/>
      <c r="G114" s="35"/>
      <c r="H114" s="15"/>
      <c r="I114" s="15"/>
      <c r="J114" s="15"/>
      <c r="K114" s="15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ht="15.75">
      <c r="A115" s="35"/>
      <c r="B115" s="15"/>
      <c r="C115" s="15"/>
      <c r="D115" s="36"/>
      <c r="E115" s="37"/>
      <c r="F115" s="35"/>
      <c r="G115" s="35"/>
      <c r="H115" s="15"/>
      <c r="I115" s="15"/>
      <c r="J115" s="15"/>
      <c r="K115" s="15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15.75">
      <c r="A116" s="35"/>
      <c r="B116" s="15"/>
      <c r="C116" s="15"/>
      <c r="D116" s="36"/>
      <c r="E116" s="37"/>
      <c r="F116" s="35"/>
      <c r="G116" s="35"/>
      <c r="H116" s="15"/>
      <c r="I116" s="15"/>
      <c r="J116" s="15"/>
      <c r="K116" s="15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15.75">
      <c r="A117" s="35"/>
      <c r="B117" s="15"/>
      <c r="C117" s="15"/>
      <c r="D117" s="36"/>
      <c r="E117" s="37"/>
      <c r="F117" s="35"/>
      <c r="G117" s="35"/>
      <c r="H117" s="15"/>
      <c r="I117" s="15"/>
      <c r="J117" s="15"/>
      <c r="K117" s="15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15.75">
      <c r="A118" s="35"/>
      <c r="B118" s="15"/>
      <c r="C118" s="15"/>
      <c r="D118" s="36"/>
      <c r="E118" s="37"/>
      <c r="F118" s="35"/>
      <c r="G118" s="35"/>
      <c r="H118" s="15"/>
      <c r="I118" s="15"/>
      <c r="J118" s="15"/>
      <c r="K118" s="15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15.75">
      <c r="A119" s="35"/>
      <c r="B119" s="15"/>
      <c r="C119" s="15"/>
      <c r="D119" s="36"/>
      <c r="E119" s="37"/>
      <c r="F119" s="35"/>
      <c r="G119" s="35"/>
      <c r="H119" s="15"/>
      <c r="I119" s="15"/>
      <c r="J119" s="15"/>
      <c r="K119" s="15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5.75">
      <c r="A120" s="35"/>
      <c r="B120" s="15"/>
      <c r="C120" s="15"/>
      <c r="D120" s="36"/>
      <c r="E120" s="37"/>
      <c r="F120" s="35"/>
      <c r="G120" s="35"/>
      <c r="H120" s="15"/>
      <c r="I120" s="15"/>
      <c r="J120" s="15"/>
      <c r="K120" s="15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5.75">
      <c r="A121" s="35"/>
      <c r="B121" s="15"/>
      <c r="C121" s="15"/>
      <c r="D121" s="36"/>
      <c r="E121" s="37"/>
      <c r="F121" s="35"/>
      <c r="G121" s="35"/>
      <c r="H121" s="15"/>
      <c r="I121" s="15"/>
      <c r="J121" s="15"/>
      <c r="K121" s="15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5.75">
      <c r="A122" s="35"/>
      <c r="B122" s="15"/>
      <c r="C122" s="15"/>
      <c r="D122" s="36"/>
      <c r="E122" s="37"/>
      <c r="F122" s="35"/>
      <c r="G122" s="35"/>
      <c r="H122" s="15"/>
      <c r="I122" s="15"/>
      <c r="J122" s="15"/>
      <c r="K122" s="15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5.75">
      <c r="A123" s="35"/>
      <c r="B123" s="15"/>
      <c r="C123" s="15"/>
      <c r="D123" s="36"/>
      <c r="E123" s="37"/>
      <c r="F123" s="35"/>
      <c r="G123" s="35"/>
      <c r="H123" s="15"/>
      <c r="I123" s="15"/>
      <c r="J123" s="15"/>
      <c r="K123" s="15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15.75">
      <c r="A124" s="35"/>
      <c r="B124" s="15"/>
      <c r="C124" s="15"/>
      <c r="D124" s="36"/>
      <c r="E124" s="37"/>
      <c r="F124" s="35"/>
      <c r="G124" s="35"/>
      <c r="H124" s="15"/>
      <c r="I124" s="15"/>
      <c r="J124" s="15"/>
      <c r="K124" s="15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5.75">
      <c r="A125" s="35"/>
      <c r="B125" s="15"/>
      <c r="C125" s="15"/>
      <c r="D125" s="36"/>
      <c r="E125" s="37"/>
      <c r="F125" s="35"/>
      <c r="G125" s="35"/>
      <c r="H125" s="15"/>
      <c r="I125" s="15"/>
      <c r="J125" s="15"/>
      <c r="K125" s="15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15.75">
      <c r="A126" s="35"/>
      <c r="B126" s="15"/>
      <c r="C126" s="15"/>
      <c r="D126" s="36"/>
      <c r="E126" s="37"/>
      <c r="F126" s="35"/>
      <c r="G126" s="35"/>
      <c r="H126" s="15"/>
      <c r="I126" s="15"/>
      <c r="J126" s="15"/>
      <c r="K126" s="15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15.75">
      <c r="A127" s="35"/>
      <c r="B127" s="15"/>
      <c r="C127" s="15"/>
      <c r="D127" s="36"/>
      <c r="E127" s="37"/>
      <c r="F127" s="35"/>
      <c r="G127" s="35"/>
      <c r="H127" s="15"/>
      <c r="I127" s="15"/>
      <c r="J127" s="15"/>
      <c r="K127" s="15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15.75">
      <c r="A128" s="35"/>
      <c r="B128" s="15"/>
      <c r="C128" s="15"/>
      <c r="D128" s="36"/>
      <c r="E128" s="37"/>
      <c r="F128" s="35"/>
      <c r="G128" s="35"/>
      <c r="H128" s="15"/>
      <c r="I128" s="15"/>
      <c r="J128" s="15"/>
      <c r="K128" s="15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5.75">
      <c r="A129" s="35"/>
      <c r="B129" s="15"/>
      <c r="C129" s="15"/>
      <c r="D129" s="36"/>
      <c r="E129" s="37"/>
      <c r="F129" s="35"/>
      <c r="G129" s="35"/>
      <c r="H129" s="15"/>
      <c r="I129" s="15"/>
      <c r="J129" s="15"/>
      <c r="K129" s="15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5.75">
      <c r="A130" s="35"/>
      <c r="B130" s="15"/>
      <c r="C130" s="15"/>
      <c r="D130" s="36"/>
      <c r="E130" s="37"/>
      <c r="F130" s="35"/>
      <c r="G130" s="35"/>
      <c r="H130" s="15"/>
      <c r="I130" s="15"/>
      <c r="J130" s="15"/>
      <c r="K130" s="15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5.75">
      <c r="A131" s="35"/>
      <c r="B131" s="15"/>
      <c r="C131" s="15"/>
      <c r="D131" s="36"/>
      <c r="E131" s="37"/>
      <c r="F131" s="35"/>
      <c r="G131" s="35"/>
      <c r="H131" s="15"/>
      <c r="I131" s="15"/>
      <c r="J131" s="15"/>
      <c r="K131" s="15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5.75">
      <c r="A132" s="35"/>
      <c r="B132" s="15"/>
      <c r="C132" s="15"/>
      <c r="D132" s="36"/>
      <c r="E132" s="37"/>
      <c r="F132" s="35"/>
      <c r="G132" s="35"/>
      <c r="H132" s="15"/>
      <c r="I132" s="15"/>
      <c r="J132" s="15"/>
      <c r="K132" s="15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5.75">
      <c r="A133" s="35"/>
      <c r="B133" s="15"/>
      <c r="C133" s="15"/>
      <c r="D133" s="36"/>
      <c r="E133" s="37"/>
      <c r="F133" s="35"/>
      <c r="G133" s="35"/>
      <c r="H133" s="15"/>
      <c r="I133" s="15"/>
      <c r="J133" s="15"/>
      <c r="K133" s="15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15.75">
      <c r="A134" s="35"/>
      <c r="B134" s="15"/>
      <c r="C134" s="15"/>
      <c r="D134" s="36"/>
      <c r="E134" s="37"/>
      <c r="F134" s="35"/>
      <c r="G134" s="35"/>
      <c r="H134" s="15"/>
      <c r="I134" s="15"/>
      <c r="J134" s="15"/>
      <c r="K134" s="15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5.75">
      <c r="A135" s="35"/>
      <c r="B135" s="15"/>
      <c r="C135" s="15"/>
      <c r="D135" s="36"/>
      <c r="E135" s="37"/>
      <c r="F135" s="35"/>
      <c r="G135" s="35"/>
      <c r="H135" s="15"/>
      <c r="I135" s="15"/>
      <c r="J135" s="15"/>
      <c r="K135" s="15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5.75">
      <c r="A136" s="35"/>
      <c r="B136" s="15"/>
      <c r="C136" s="15"/>
      <c r="D136" s="36"/>
      <c r="E136" s="37"/>
      <c r="F136" s="35"/>
      <c r="G136" s="35"/>
      <c r="H136" s="15"/>
      <c r="I136" s="15"/>
      <c r="J136" s="15"/>
      <c r="K136" s="15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15.75">
      <c r="A137" s="35"/>
      <c r="B137" s="15"/>
      <c r="C137" s="15"/>
      <c r="D137" s="36"/>
      <c r="E137" s="37"/>
      <c r="F137" s="35"/>
      <c r="G137" s="35"/>
      <c r="H137" s="15"/>
      <c r="I137" s="15"/>
      <c r="J137" s="15"/>
      <c r="K137" s="15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1:20" ht="15.75">
      <c r="A138" s="35"/>
      <c r="B138" s="15"/>
      <c r="C138" s="15"/>
      <c r="D138" s="36"/>
      <c r="E138" s="37"/>
      <c r="F138" s="35"/>
      <c r="G138" s="35"/>
      <c r="H138" s="15"/>
      <c r="I138" s="15"/>
      <c r="J138" s="15"/>
      <c r="K138" s="15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1:20" ht="15.75">
      <c r="A139" s="35"/>
      <c r="B139" s="15"/>
      <c r="C139" s="15"/>
      <c r="D139" s="36"/>
      <c r="E139" s="37"/>
      <c r="F139" s="35"/>
      <c r="G139" s="35"/>
      <c r="H139" s="15"/>
      <c r="I139" s="15"/>
      <c r="J139" s="15"/>
      <c r="K139" s="15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1:20" ht="15.75">
      <c r="A140" s="35"/>
      <c r="B140" s="15"/>
      <c r="C140" s="15"/>
      <c r="D140" s="36"/>
      <c r="E140" s="37"/>
      <c r="F140" s="35"/>
      <c r="G140" s="35"/>
      <c r="H140" s="15"/>
      <c r="I140" s="15"/>
      <c r="J140" s="15"/>
      <c r="K140" s="15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0" ht="15.75">
      <c r="A141" s="35"/>
      <c r="B141" s="15"/>
      <c r="C141" s="15"/>
      <c r="D141" s="36"/>
      <c r="E141" s="37"/>
      <c r="F141" s="35"/>
      <c r="G141" s="35"/>
      <c r="H141" s="15"/>
      <c r="I141" s="15"/>
      <c r="J141" s="15"/>
      <c r="K141" s="15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0" ht="15.75">
      <c r="A142" s="35"/>
      <c r="B142" s="15"/>
      <c r="C142" s="15"/>
      <c r="D142" s="36"/>
      <c r="E142" s="37"/>
      <c r="F142" s="35"/>
      <c r="G142" s="35"/>
      <c r="H142" s="15"/>
      <c r="I142" s="15"/>
      <c r="J142" s="15"/>
      <c r="K142" s="15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1:20" ht="15.75">
      <c r="A143" s="35"/>
      <c r="B143" s="15"/>
      <c r="C143" s="15"/>
      <c r="D143" s="36"/>
      <c r="E143" s="37"/>
      <c r="F143" s="35"/>
      <c r="G143" s="35"/>
      <c r="H143" s="15"/>
      <c r="I143" s="15"/>
      <c r="J143" s="15"/>
      <c r="K143" s="15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1:20" ht="15.75">
      <c r="A144" s="35"/>
      <c r="B144" s="15"/>
      <c r="C144" s="15"/>
      <c r="D144" s="36"/>
      <c r="E144" s="37"/>
      <c r="F144" s="35"/>
      <c r="G144" s="35"/>
      <c r="H144" s="15"/>
      <c r="I144" s="15"/>
      <c r="J144" s="15"/>
      <c r="K144" s="15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1:20" ht="15.75">
      <c r="A145" s="35"/>
      <c r="B145" s="15"/>
      <c r="C145" s="15"/>
      <c r="D145" s="36"/>
      <c r="E145" s="37"/>
      <c r="F145" s="35"/>
      <c r="G145" s="35"/>
      <c r="H145" s="15"/>
      <c r="I145" s="15"/>
      <c r="J145" s="15"/>
      <c r="K145" s="15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1:20" ht="15.75">
      <c r="A146" s="35"/>
      <c r="B146" s="15"/>
      <c r="C146" s="15"/>
      <c r="D146" s="36"/>
      <c r="E146" s="37"/>
      <c r="F146" s="35"/>
      <c r="G146" s="35"/>
      <c r="H146" s="15"/>
      <c r="I146" s="15"/>
      <c r="J146" s="15"/>
      <c r="K146" s="15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1:20" ht="15.75">
      <c r="A147" s="35"/>
      <c r="B147" s="15"/>
      <c r="C147" s="15"/>
      <c r="D147" s="36"/>
      <c r="E147" s="37"/>
      <c r="F147" s="35"/>
      <c r="G147" s="35"/>
      <c r="H147" s="15"/>
      <c r="I147" s="15"/>
      <c r="J147" s="15"/>
      <c r="K147" s="15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1:20" ht="15.75">
      <c r="A148" s="35"/>
      <c r="B148" s="15"/>
      <c r="C148" s="15"/>
      <c r="D148" s="36"/>
      <c r="E148" s="37"/>
      <c r="F148" s="35"/>
      <c r="G148" s="35"/>
      <c r="H148" s="15"/>
      <c r="I148" s="15"/>
      <c r="J148" s="15"/>
      <c r="K148" s="15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1:20" ht="15.75">
      <c r="A149" s="35"/>
      <c r="B149" s="15"/>
      <c r="C149" s="15"/>
      <c r="D149" s="36"/>
      <c r="E149" s="37"/>
      <c r="F149" s="35"/>
      <c r="G149" s="35"/>
      <c r="H149" s="15"/>
      <c r="I149" s="15"/>
      <c r="J149" s="15"/>
      <c r="K149" s="15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1:20" ht="15.75">
      <c r="A150" s="35"/>
      <c r="B150" s="15"/>
      <c r="C150" s="15"/>
      <c r="D150" s="36"/>
      <c r="E150" s="37"/>
      <c r="F150" s="35"/>
      <c r="G150" s="35"/>
      <c r="H150" s="15"/>
      <c r="I150" s="15"/>
      <c r="J150" s="15"/>
      <c r="K150" s="15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1:20" ht="15.75">
      <c r="A151" s="35"/>
      <c r="B151" s="15"/>
      <c r="C151" s="15"/>
      <c r="D151" s="36"/>
      <c r="E151" s="37"/>
      <c r="F151" s="35"/>
      <c r="G151" s="35"/>
      <c r="H151" s="15"/>
      <c r="I151" s="15"/>
      <c r="J151" s="15"/>
      <c r="K151" s="15"/>
      <c r="L151" s="16"/>
      <c r="M151" s="16"/>
      <c r="N151" s="16"/>
      <c r="O151" s="16"/>
      <c r="P151" s="16"/>
      <c r="Q151" s="16"/>
      <c r="R151" s="16"/>
      <c r="S151" s="16"/>
      <c r="T151" s="16"/>
    </row>
  </sheetData>
  <sheetProtection/>
  <mergeCells count="5">
    <mergeCell ref="A7:B7"/>
    <mergeCell ref="A8:B8"/>
    <mergeCell ref="A55:B55"/>
    <mergeCell ref="F1:K1"/>
    <mergeCell ref="M57:N57"/>
  </mergeCells>
  <printOptions/>
  <pageMargins left="0" right="0" top="0" bottom="0" header="0.31496062992125984" footer="0.31496062992125984"/>
  <pageSetup fitToWidth="2" horizontalDpi="600" verticalDpi="600" orientation="landscape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2012-08-06T11:09:35Z</dcterms:modified>
  <cp:category/>
  <cp:version/>
  <cp:contentType/>
  <cp:contentStatus/>
</cp:coreProperties>
</file>